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danis\Desktop\"/>
    </mc:Choice>
  </mc:AlternateContent>
  <bookViews>
    <workbookView xWindow="0" yWindow="0" windowWidth="28800" windowHeight="12435"/>
  </bookViews>
  <sheets>
    <sheet name="Presentación" sheetId="1" r:id="rId1"/>
    <sheet name="Introducción" sheetId="22" r:id="rId2"/>
    <sheet name="Seguridad Militar" sheetId="8" r:id="rId3"/>
    <sheet name="Agropecuaria" sheetId="9" r:id="rId4"/>
    <sheet name="Logística" sheetId="10" r:id="rId5"/>
    <sheet name="Comercialización" sheetId="11" r:id="rId6"/>
    <sheet name="Programas" sheetId="12" r:id="rId7"/>
    <sheet name="Dirección Ejecutiva" sheetId="13" r:id="rId8"/>
    <sheet name="Comunicaciones" sheetId="14" r:id="rId9"/>
    <sheet name="Normas y Seguimiento" sheetId="15" r:id="rId10"/>
    <sheet name="Planificación y Desarrollo" sheetId="16" r:id="rId11"/>
    <sheet name="TIC" sheetId="17" r:id="rId12"/>
    <sheet name="Jurídica" sheetId="18" r:id="rId13"/>
    <sheet name="Administrativa Financiera" sheetId="19" r:id="rId14"/>
    <sheet name="Recursos Humanos" sheetId="20" r:id="rId15"/>
    <sheet name="OAI" sheetId="21" r:id="rId16"/>
  </sheets>
  <definedNames>
    <definedName name="_xlnm.Print_Area" localSheetId="13">'Administrativa Financiera'!$A$2:$P$26</definedName>
    <definedName name="_xlnm.Print_Area" localSheetId="3">Agropecuaria!$A$2:$P$36</definedName>
    <definedName name="_xlnm.Print_Area" localSheetId="5">Comercialización!$A$2:$P$22</definedName>
    <definedName name="_xlnm.Print_Area" localSheetId="8">Comunicaciones!$A$2:$P$37</definedName>
    <definedName name="_xlnm.Print_Area" localSheetId="7">'Dirección Ejecutiva'!$A$2:$P$30</definedName>
    <definedName name="_xlnm.Print_Area" localSheetId="1">Introducción!$A$1:$I$46</definedName>
    <definedName name="_xlnm.Print_Area" localSheetId="12">Jurídica!$A$2:$P$22</definedName>
    <definedName name="_xlnm.Print_Area" localSheetId="4">Logística!$A$2:$P$19</definedName>
    <definedName name="_xlnm.Print_Area" localSheetId="9">'Normas y Seguimiento'!$A$2:$P$32</definedName>
    <definedName name="_xlnm.Print_Area" localSheetId="15">OAI!$A$2:$P$44</definedName>
    <definedName name="_xlnm.Print_Area" localSheetId="10">'Planificación y Desarrollo'!$A$2:$P$33</definedName>
    <definedName name="_xlnm.Print_Area" localSheetId="0">Presentación!$A$2:$J$67</definedName>
    <definedName name="_xlnm.Print_Area" localSheetId="6">Programas!$A$2:$P$27</definedName>
    <definedName name="_xlnm.Print_Area" localSheetId="14">'Recursos Humanos'!$A$2:$P$32</definedName>
    <definedName name="_xlnm.Print_Area" localSheetId="2">'Seguridad Militar'!$A$2:$P$20</definedName>
    <definedName name="_xlnm.Print_Area" localSheetId="11">TIC!$A$2:$P$37</definedName>
    <definedName name="_xlnm.Print_Titles" localSheetId="13">'Administrativa Financiera'!$14:$15</definedName>
    <definedName name="_xlnm.Print_Titles" localSheetId="3">Agropecuaria!$14:$15</definedName>
    <definedName name="_xlnm.Print_Titles" localSheetId="8">Comunicaciones!$14:$15</definedName>
    <definedName name="_xlnm.Print_Titles" localSheetId="7">'Dirección Ejecutiva'!$14:$15</definedName>
    <definedName name="_xlnm.Print_Titles" localSheetId="9">'Normas y Seguimiento'!$14:$15</definedName>
    <definedName name="_xlnm.Print_Titles" localSheetId="10">'Planificación y Desarrollo'!$14:$15</definedName>
    <definedName name="_xlnm.Print_Titles" localSheetId="6">Programas!$14:$15</definedName>
    <definedName name="_xlnm.Print_Titles" localSheetId="14">'Recursos Humanos'!$14:$15</definedName>
    <definedName name="_xlnm.Print_Titles" localSheetId="11">TIC!$14:$15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2" l="1"/>
  <c r="J19" i="10" l="1"/>
  <c r="J25" i="12"/>
  <c r="J24" i="12"/>
  <c r="I15" i="8"/>
  <c r="J37" i="17"/>
  <c r="K37" i="17" s="1"/>
  <c r="L37" i="17" s="1"/>
  <c r="J36" i="17"/>
  <c r="K36" i="17" s="1"/>
  <c r="L36" i="17" s="1"/>
  <c r="J37" i="14" l="1"/>
  <c r="K37" i="14" s="1"/>
  <c r="L37" i="14" s="1"/>
  <c r="J36" i="14"/>
  <c r="K36" i="14" s="1"/>
  <c r="L36" i="14" s="1"/>
  <c r="J16" i="11" l="1"/>
  <c r="K16" i="11" s="1"/>
  <c r="L16" i="11" s="1"/>
  <c r="J36" i="9" l="1"/>
  <c r="K36" i="9" s="1"/>
  <c r="L36" i="9" s="1"/>
  <c r="J20" i="21" l="1"/>
  <c r="K20" i="21" s="1"/>
  <c r="L20" i="21" s="1"/>
  <c r="J19" i="21"/>
  <c r="K19" i="21" s="1"/>
  <c r="L19" i="21" s="1"/>
  <c r="J18" i="21"/>
  <c r="K18" i="21" s="1"/>
  <c r="L18" i="21" s="1"/>
  <c r="J17" i="21"/>
  <c r="K17" i="21" s="1"/>
  <c r="L17" i="21" s="1"/>
  <c r="J16" i="21"/>
  <c r="K16" i="21" s="1"/>
  <c r="L16" i="21" s="1"/>
  <c r="I15" i="21"/>
  <c r="H15" i="21"/>
  <c r="G15" i="21"/>
  <c r="G14" i="21"/>
  <c r="A8" i="21"/>
  <c r="J32" i="20"/>
  <c r="K32" i="20" s="1"/>
  <c r="L32" i="20" s="1"/>
  <c r="J31" i="20"/>
  <c r="K31" i="20" s="1"/>
  <c r="L31" i="20" s="1"/>
  <c r="J30" i="20"/>
  <c r="K30" i="20" s="1"/>
  <c r="L30" i="20" s="1"/>
  <c r="J29" i="20"/>
  <c r="K29" i="20" s="1"/>
  <c r="L29" i="20" s="1"/>
  <c r="J28" i="20"/>
  <c r="K28" i="20" s="1"/>
  <c r="L28" i="20" s="1"/>
  <c r="J27" i="20"/>
  <c r="K27" i="20" s="1"/>
  <c r="L27" i="20" s="1"/>
  <c r="J26" i="20"/>
  <c r="K26" i="20" s="1"/>
  <c r="L26" i="20" s="1"/>
  <c r="J25" i="20"/>
  <c r="K25" i="20" s="1"/>
  <c r="L25" i="20" s="1"/>
  <c r="J24" i="20"/>
  <c r="K24" i="20" s="1"/>
  <c r="L24" i="20" s="1"/>
  <c r="J23" i="20"/>
  <c r="K23" i="20" s="1"/>
  <c r="L23" i="20" s="1"/>
  <c r="J22" i="20"/>
  <c r="K22" i="20" s="1"/>
  <c r="L22" i="20" s="1"/>
  <c r="J21" i="20"/>
  <c r="K21" i="20" s="1"/>
  <c r="L21" i="20" s="1"/>
  <c r="J20" i="20"/>
  <c r="K20" i="20" s="1"/>
  <c r="L20" i="20" s="1"/>
  <c r="J19" i="20"/>
  <c r="K19" i="20" s="1"/>
  <c r="L19" i="20" s="1"/>
  <c r="J18" i="20"/>
  <c r="K18" i="20" s="1"/>
  <c r="L18" i="20" s="1"/>
  <c r="J17" i="20"/>
  <c r="K17" i="20" s="1"/>
  <c r="L17" i="20" s="1"/>
  <c r="J16" i="20"/>
  <c r="K16" i="20" s="1"/>
  <c r="L16" i="20" s="1"/>
  <c r="I15" i="20"/>
  <c r="H15" i="20"/>
  <c r="G15" i="20"/>
  <c r="G14" i="20"/>
  <c r="A8" i="20"/>
  <c r="J26" i="19"/>
  <c r="K26" i="19" s="1"/>
  <c r="L26" i="19" s="1"/>
  <c r="J25" i="19"/>
  <c r="K25" i="19" s="1"/>
  <c r="L25" i="19" s="1"/>
  <c r="J24" i="19"/>
  <c r="K24" i="19" s="1"/>
  <c r="L24" i="19" s="1"/>
  <c r="J23" i="19"/>
  <c r="K23" i="19" s="1"/>
  <c r="L23" i="19" s="1"/>
  <c r="J22" i="19"/>
  <c r="K22" i="19" s="1"/>
  <c r="L22" i="19" s="1"/>
  <c r="J21" i="19"/>
  <c r="K21" i="19" s="1"/>
  <c r="L21" i="19" s="1"/>
  <c r="J20" i="19"/>
  <c r="K20" i="19" s="1"/>
  <c r="L20" i="19" s="1"/>
  <c r="J19" i="19"/>
  <c r="K19" i="19" s="1"/>
  <c r="L19" i="19" s="1"/>
  <c r="J18" i="19"/>
  <c r="K18" i="19" s="1"/>
  <c r="L18" i="19" s="1"/>
  <c r="J17" i="19"/>
  <c r="K17" i="19" s="1"/>
  <c r="L17" i="19" s="1"/>
  <c r="J16" i="19"/>
  <c r="K16" i="19" s="1"/>
  <c r="L16" i="19" s="1"/>
  <c r="I15" i="19"/>
  <c r="H15" i="19"/>
  <c r="G15" i="19"/>
  <c r="G14" i="19"/>
  <c r="A8" i="19"/>
  <c r="J22" i="18"/>
  <c r="K22" i="18" s="1"/>
  <c r="L22" i="18" s="1"/>
  <c r="J21" i="18"/>
  <c r="K21" i="18" s="1"/>
  <c r="L21" i="18" s="1"/>
  <c r="J20" i="18"/>
  <c r="K20" i="18" s="1"/>
  <c r="L20" i="18" s="1"/>
  <c r="J19" i="18"/>
  <c r="K19" i="18" s="1"/>
  <c r="L19" i="18" s="1"/>
  <c r="J18" i="18"/>
  <c r="K18" i="18" s="1"/>
  <c r="L18" i="18" s="1"/>
  <c r="J17" i="18"/>
  <c r="K17" i="18" s="1"/>
  <c r="L17" i="18" s="1"/>
  <c r="J16" i="18"/>
  <c r="K16" i="18" s="1"/>
  <c r="L16" i="18" s="1"/>
  <c r="I15" i="18"/>
  <c r="H15" i="18"/>
  <c r="G15" i="18"/>
  <c r="G14" i="18"/>
  <c r="A8" i="18"/>
  <c r="J35" i="17"/>
  <c r="K35" i="17" s="1"/>
  <c r="L35" i="17" s="1"/>
  <c r="J34" i="17"/>
  <c r="K34" i="17" s="1"/>
  <c r="L34" i="17" s="1"/>
  <c r="J33" i="17"/>
  <c r="K33" i="17" s="1"/>
  <c r="L33" i="17" s="1"/>
  <c r="J32" i="17"/>
  <c r="K32" i="17" s="1"/>
  <c r="L32" i="17" s="1"/>
  <c r="J31" i="17"/>
  <c r="K31" i="17" s="1"/>
  <c r="L31" i="17" s="1"/>
  <c r="J30" i="17"/>
  <c r="K30" i="17" s="1"/>
  <c r="L30" i="17" s="1"/>
  <c r="J29" i="17"/>
  <c r="K29" i="17" s="1"/>
  <c r="L29" i="17" s="1"/>
  <c r="J28" i="17"/>
  <c r="K28" i="17" s="1"/>
  <c r="L28" i="17" s="1"/>
  <c r="J27" i="17"/>
  <c r="K27" i="17" s="1"/>
  <c r="L27" i="17" s="1"/>
  <c r="J26" i="17"/>
  <c r="K26" i="17" s="1"/>
  <c r="L26" i="17" s="1"/>
  <c r="J25" i="17"/>
  <c r="K25" i="17" s="1"/>
  <c r="L25" i="17" s="1"/>
  <c r="J24" i="17"/>
  <c r="K24" i="17" s="1"/>
  <c r="L24" i="17" s="1"/>
  <c r="J23" i="17"/>
  <c r="K23" i="17" s="1"/>
  <c r="L23" i="17" s="1"/>
  <c r="J22" i="17"/>
  <c r="K22" i="17" s="1"/>
  <c r="L22" i="17" s="1"/>
  <c r="J21" i="17"/>
  <c r="K21" i="17" s="1"/>
  <c r="L21" i="17" s="1"/>
  <c r="J20" i="17"/>
  <c r="K20" i="17" s="1"/>
  <c r="L20" i="17" s="1"/>
  <c r="J19" i="17"/>
  <c r="K19" i="17" s="1"/>
  <c r="L19" i="17" s="1"/>
  <c r="J18" i="17"/>
  <c r="K18" i="17" s="1"/>
  <c r="L18" i="17" s="1"/>
  <c r="J17" i="17"/>
  <c r="K17" i="17" s="1"/>
  <c r="L17" i="17" s="1"/>
  <c r="J16" i="17"/>
  <c r="K16" i="17" s="1"/>
  <c r="L16" i="17" s="1"/>
  <c r="I15" i="17"/>
  <c r="H15" i="17"/>
  <c r="G15" i="17"/>
  <c r="G14" i="17"/>
  <c r="A8" i="17"/>
  <c r="J33" i="16"/>
  <c r="K33" i="16" s="1"/>
  <c r="L33" i="16" s="1"/>
  <c r="J32" i="16"/>
  <c r="K32" i="16" s="1"/>
  <c r="L32" i="16" s="1"/>
  <c r="J31" i="16"/>
  <c r="K31" i="16" s="1"/>
  <c r="L31" i="16" s="1"/>
  <c r="J30" i="16"/>
  <c r="K30" i="16" s="1"/>
  <c r="L30" i="16" s="1"/>
  <c r="J29" i="16"/>
  <c r="K29" i="16" s="1"/>
  <c r="L29" i="16" s="1"/>
  <c r="J28" i="16"/>
  <c r="K28" i="16" s="1"/>
  <c r="L28" i="16" s="1"/>
  <c r="J27" i="16"/>
  <c r="K27" i="16" s="1"/>
  <c r="L27" i="16" s="1"/>
  <c r="J26" i="16"/>
  <c r="K26" i="16" s="1"/>
  <c r="L26" i="16" s="1"/>
  <c r="J25" i="16"/>
  <c r="K25" i="16" s="1"/>
  <c r="L25" i="16" s="1"/>
  <c r="J24" i="16"/>
  <c r="K24" i="16" s="1"/>
  <c r="L24" i="16" s="1"/>
  <c r="J23" i="16"/>
  <c r="K23" i="16" s="1"/>
  <c r="L23" i="16" s="1"/>
  <c r="J22" i="16"/>
  <c r="K22" i="16" s="1"/>
  <c r="L22" i="16" s="1"/>
  <c r="J21" i="16"/>
  <c r="K21" i="16" s="1"/>
  <c r="L21" i="16" s="1"/>
  <c r="J20" i="16"/>
  <c r="K20" i="16" s="1"/>
  <c r="L20" i="16" s="1"/>
  <c r="J19" i="16"/>
  <c r="K19" i="16" s="1"/>
  <c r="L19" i="16" s="1"/>
  <c r="J18" i="16"/>
  <c r="K18" i="16" s="1"/>
  <c r="L18" i="16" s="1"/>
  <c r="J17" i="16"/>
  <c r="K17" i="16" s="1"/>
  <c r="L17" i="16" s="1"/>
  <c r="J16" i="16"/>
  <c r="K16" i="16" s="1"/>
  <c r="L16" i="16" s="1"/>
  <c r="I15" i="16"/>
  <c r="H15" i="16"/>
  <c r="G15" i="16"/>
  <c r="G14" i="16"/>
  <c r="A8" i="16"/>
  <c r="J32" i="15"/>
  <c r="K32" i="15" s="1"/>
  <c r="L32" i="15" s="1"/>
  <c r="J31" i="15"/>
  <c r="K31" i="15" s="1"/>
  <c r="L31" i="15" s="1"/>
  <c r="J30" i="15"/>
  <c r="K30" i="15" s="1"/>
  <c r="L30" i="15" s="1"/>
  <c r="J29" i="15"/>
  <c r="K29" i="15" s="1"/>
  <c r="L29" i="15" s="1"/>
  <c r="J28" i="15"/>
  <c r="K28" i="15" s="1"/>
  <c r="L28" i="15" s="1"/>
  <c r="J27" i="15"/>
  <c r="K27" i="15" s="1"/>
  <c r="L27" i="15" s="1"/>
  <c r="J26" i="15"/>
  <c r="K26" i="15" s="1"/>
  <c r="L26" i="15" s="1"/>
  <c r="J25" i="15"/>
  <c r="K25" i="15" s="1"/>
  <c r="L25" i="15" s="1"/>
  <c r="J24" i="15"/>
  <c r="K24" i="15" s="1"/>
  <c r="L24" i="15" s="1"/>
  <c r="J23" i="15"/>
  <c r="K23" i="15" s="1"/>
  <c r="L23" i="15" s="1"/>
  <c r="J22" i="15"/>
  <c r="K22" i="15" s="1"/>
  <c r="L22" i="15" s="1"/>
  <c r="J21" i="15"/>
  <c r="K21" i="15" s="1"/>
  <c r="L21" i="15" s="1"/>
  <c r="J20" i="15"/>
  <c r="K20" i="15" s="1"/>
  <c r="L20" i="15" s="1"/>
  <c r="J19" i="15"/>
  <c r="K19" i="15" s="1"/>
  <c r="L19" i="15" s="1"/>
  <c r="J18" i="15"/>
  <c r="K18" i="15" s="1"/>
  <c r="L18" i="15" s="1"/>
  <c r="J17" i="15"/>
  <c r="K17" i="15" s="1"/>
  <c r="L17" i="15" s="1"/>
  <c r="J16" i="15"/>
  <c r="K16" i="15" s="1"/>
  <c r="L16" i="15" s="1"/>
  <c r="I15" i="15"/>
  <c r="H15" i="15"/>
  <c r="G15" i="15"/>
  <c r="G14" i="15"/>
  <c r="A8" i="15"/>
  <c r="J35" i="14"/>
  <c r="K35" i="14" s="1"/>
  <c r="L35" i="14" s="1"/>
  <c r="J34" i="14"/>
  <c r="K34" i="14" s="1"/>
  <c r="L34" i="14" s="1"/>
  <c r="J33" i="14"/>
  <c r="K33" i="14" s="1"/>
  <c r="L33" i="14" s="1"/>
  <c r="J32" i="14"/>
  <c r="K32" i="14" s="1"/>
  <c r="L32" i="14" s="1"/>
  <c r="J31" i="14"/>
  <c r="K31" i="14" s="1"/>
  <c r="L31" i="14" s="1"/>
  <c r="J30" i="14"/>
  <c r="K30" i="14" s="1"/>
  <c r="L30" i="14" s="1"/>
  <c r="J29" i="14"/>
  <c r="K29" i="14" s="1"/>
  <c r="L29" i="14" s="1"/>
  <c r="J28" i="14"/>
  <c r="K28" i="14" s="1"/>
  <c r="L28" i="14" s="1"/>
  <c r="J27" i="14"/>
  <c r="K27" i="14" s="1"/>
  <c r="L27" i="14" s="1"/>
  <c r="J26" i="14"/>
  <c r="K26" i="14" s="1"/>
  <c r="L26" i="14" s="1"/>
  <c r="J25" i="14"/>
  <c r="K25" i="14" s="1"/>
  <c r="L25" i="14" s="1"/>
  <c r="J24" i="14"/>
  <c r="K24" i="14" s="1"/>
  <c r="L24" i="14" s="1"/>
  <c r="J23" i="14"/>
  <c r="K23" i="14" s="1"/>
  <c r="L23" i="14" s="1"/>
  <c r="J22" i="14"/>
  <c r="K22" i="14" s="1"/>
  <c r="L22" i="14" s="1"/>
  <c r="J21" i="14"/>
  <c r="K21" i="14" s="1"/>
  <c r="L21" i="14" s="1"/>
  <c r="J20" i="14"/>
  <c r="K20" i="14" s="1"/>
  <c r="L20" i="14" s="1"/>
  <c r="J19" i="14"/>
  <c r="K19" i="14" s="1"/>
  <c r="L19" i="14" s="1"/>
  <c r="J18" i="14"/>
  <c r="K18" i="14" s="1"/>
  <c r="L18" i="14" s="1"/>
  <c r="J17" i="14"/>
  <c r="K17" i="14" s="1"/>
  <c r="L17" i="14" s="1"/>
  <c r="J16" i="14"/>
  <c r="K16" i="14" s="1"/>
  <c r="L16" i="14" s="1"/>
  <c r="I15" i="14"/>
  <c r="H15" i="14"/>
  <c r="G15" i="14"/>
  <c r="G14" i="14"/>
  <c r="A8" i="14"/>
  <c r="J30" i="13"/>
  <c r="K30" i="13" s="1"/>
  <c r="L30" i="13" s="1"/>
  <c r="J29" i="13"/>
  <c r="K29" i="13" s="1"/>
  <c r="L29" i="13" s="1"/>
  <c r="J28" i="13"/>
  <c r="K28" i="13" s="1"/>
  <c r="L28" i="13" s="1"/>
  <c r="J27" i="13"/>
  <c r="K27" i="13" s="1"/>
  <c r="L27" i="13" s="1"/>
  <c r="J26" i="13"/>
  <c r="K26" i="13" s="1"/>
  <c r="L26" i="13" s="1"/>
  <c r="J25" i="13"/>
  <c r="K25" i="13" s="1"/>
  <c r="L25" i="13" s="1"/>
  <c r="J24" i="13"/>
  <c r="K24" i="13" s="1"/>
  <c r="L24" i="13" s="1"/>
  <c r="J23" i="13"/>
  <c r="K23" i="13" s="1"/>
  <c r="L23" i="13" s="1"/>
  <c r="J22" i="13"/>
  <c r="K22" i="13" s="1"/>
  <c r="L22" i="13" s="1"/>
  <c r="J21" i="13"/>
  <c r="K21" i="13" s="1"/>
  <c r="L21" i="13" s="1"/>
  <c r="J20" i="13"/>
  <c r="K20" i="13" s="1"/>
  <c r="L20" i="13" s="1"/>
  <c r="J19" i="13"/>
  <c r="K19" i="13" s="1"/>
  <c r="L19" i="13" s="1"/>
  <c r="J18" i="13"/>
  <c r="K18" i="13" s="1"/>
  <c r="L18" i="13" s="1"/>
  <c r="J17" i="13"/>
  <c r="K17" i="13" s="1"/>
  <c r="L17" i="13" s="1"/>
  <c r="J16" i="13"/>
  <c r="K16" i="13" s="1"/>
  <c r="L16" i="13" s="1"/>
  <c r="I15" i="13"/>
  <c r="H15" i="13"/>
  <c r="G15" i="13"/>
  <c r="G14" i="13"/>
  <c r="A8" i="13"/>
  <c r="J27" i="12"/>
  <c r="K27" i="12" s="1"/>
  <c r="L27" i="12" s="1"/>
  <c r="J26" i="12"/>
  <c r="K26" i="12" s="1"/>
  <c r="L26" i="12" s="1"/>
  <c r="K25" i="12"/>
  <c r="L25" i="12" s="1"/>
  <c r="K24" i="12"/>
  <c r="L24" i="12" s="1"/>
  <c r="J23" i="12"/>
  <c r="K23" i="12" s="1"/>
  <c r="L23" i="12" s="1"/>
  <c r="J22" i="12"/>
  <c r="K22" i="12" s="1"/>
  <c r="L22" i="12" s="1"/>
  <c r="J21" i="12"/>
  <c r="K21" i="12" s="1"/>
  <c r="L21" i="12" s="1"/>
  <c r="J20" i="12"/>
  <c r="K20" i="12" s="1"/>
  <c r="L20" i="12" s="1"/>
  <c r="J19" i="12"/>
  <c r="K19" i="12" s="1"/>
  <c r="L19" i="12" s="1"/>
  <c r="J18" i="12"/>
  <c r="K18" i="12" s="1"/>
  <c r="L18" i="12" s="1"/>
  <c r="J17" i="12"/>
  <c r="K17" i="12" s="1"/>
  <c r="L17" i="12" s="1"/>
  <c r="J16" i="12"/>
  <c r="K16" i="12" s="1"/>
  <c r="L16" i="12" s="1"/>
  <c r="I15" i="12"/>
  <c r="H15" i="12"/>
  <c r="G15" i="12"/>
  <c r="G14" i="12"/>
  <c r="A8" i="12"/>
  <c r="J22" i="11"/>
  <c r="K22" i="11" s="1"/>
  <c r="L22" i="11" s="1"/>
  <c r="J21" i="11"/>
  <c r="K21" i="11" s="1"/>
  <c r="L21" i="11" s="1"/>
  <c r="J20" i="11"/>
  <c r="K20" i="11" s="1"/>
  <c r="L20" i="11" s="1"/>
  <c r="J19" i="11"/>
  <c r="K19" i="11" s="1"/>
  <c r="L19" i="11" s="1"/>
  <c r="J18" i="11"/>
  <c r="K18" i="11" s="1"/>
  <c r="L18" i="11" s="1"/>
  <c r="J17" i="11"/>
  <c r="K17" i="11" s="1"/>
  <c r="L17" i="11" s="1"/>
  <c r="I15" i="11"/>
  <c r="H15" i="11"/>
  <c r="G15" i="11"/>
  <c r="G14" i="11"/>
  <c r="A8" i="11"/>
  <c r="K19" i="10"/>
  <c r="L19" i="10" s="1"/>
  <c r="J18" i="10"/>
  <c r="K18" i="10" s="1"/>
  <c r="L18" i="10" s="1"/>
  <c r="J17" i="10"/>
  <c r="K17" i="10" s="1"/>
  <c r="L17" i="10" s="1"/>
  <c r="J16" i="10"/>
  <c r="K16" i="10" s="1"/>
  <c r="L16" i="10" s="1"/>
  <c r="I15" i="10"/>
  <c r="H15" i="10"/>
  <c r="G15" i="10"/>
  <c r="G14" i="10"/>
  <c r="A8" i="10"/>
  <c r="J35" i="9" l="1"/>
  <c r="K35" i="9" s="1"/>
  <c r="L35" i="9" s="1"/>
  <c r="J34" i="9"/>
  <c r="K34" i="9" s="1"/>
  <c r="L34" i="9" s="1"/>
  <c r="J33" i="9"/>
  <c r="K33" i="9" s="1"/>
  <c r="L33" i="9" s="1"/>
  <c r="J32" i="9"/>
  <c r="K32" i="9" s="1"/>
  <c r="L32" i="9" s="1"/>
  <c r="J31" i="9"/>
  <c r="K31" i="9" s="1"/>
  <c r="L31" i="9" s="1"/>
  <c r="J30" i="9"/>
  <c r="K30" i="9" s="1"/>
  <c r="L30" i="9" s="1"/>
  <c r="J29" i="9"/>
  <c r="K29" i="9" s="1"/>
  <c r="L29" i="9" s="1"/>
  <c r="J28" i="9"/>
  <c r="K28" i="9" s="1"/>
  <c r="L28" i="9" s="1"/>
  <c r="J27" i="9"/>
  <c r="K27" i="9" s="1"/>
  <c r="L27" i="9" s="1"/>
  <c r="J26" i="9"/>
  <c r="K26" i="9" s="1"/>
  <c r="L26" i="9" s="1"/>
  <c r="J25" i="9"/>
  <c r="K25" i="9" s="1"/>
  <c r="L25" i="9" s="1"/>
  <c r="J24" i="9"/>
  <c r="K24" i="9" s="1"/>
  <c r="L24" i="9" s="1"/>
  <c r="J23" i="9"/>
  <c r="K23" i="9" s="1"/>
  <c r="L23" i="9" s="1"/>
  <c r="J22" i="9"/>
  <c r="K22" i="9" s="1"/>
  <c r="L22" i="9" s="1"/>
  <c r="J21" i="9"/>
  <c r="K21" i="9" s="1"/>
  <c r="L21" i="9" s="1"/>
  <c r="J20" i="9"/>
  <c r="K20" i="9" s="1"/>
  <c r="L20" i="9" s="1"/>
  <c r="J19" i="9"/>
  <c r="K19" i="9" s="1"/>
  <c r="L19" i="9" s="1"/>
  <c r="J18" i="9"/>
  <c r="K18" i="9" s="1"/>
  <c r="L18" i="9" s="1"/>
  <c r="J17" i="9"/>
  <c r="K17" i="9" s="1"/>
  <c r="L17" i="9" s="1"/>
  <c r="J16" i="9"/>
  <c r="K16" i="9" s="1"/>
  <c r="L16" i="9" s="1"/>
  <c r="I15" i="9"/>
  <c r="H15" i="9"/>
  <c r="G15" i="9"/>
  <c r="G14" i="9"/>
  <c r="A8" i="9"/>
  <c r="H15" i="8"/>
  <c r="G15" i="8"/>
  <c r="G14" i="8"/>
  <c r="A8" i="8"/>
  <c r="J17" i="8"/>
  <c r="K17" i="8" s="1"/>
  <c r="L17" i="8" s="1"/>
  <c r="J18" i="8"/>
  <c r="K18" i="8" s="1"/>
  <c r="L18" i="8" s="1"/>
  <c r="J19" i="8"/>
  <c r="K19" i="8" s="1"/>
  <c r="L19" i="8" s="1"/>
  <c r="J20" i="8"/>
  <c r="K20" i="8" s="1"/>
  <c r="L20" i="8" s="1"/>
  <c r="J16" i="8"/>
  <c r="K16" i="8" s="1"/>
  <c r="L16" i="8" s="1"/>
</calcChain>
</file>

<file path=xl/sharedStrings.xml><?xml version="1.0" encoding="utf-8"?>
<sst xmlns="http://schemas.openxmlformats.org/spreadsheetml/2006/main" count="1534" uniqueCount="914">
  <si>
    <t>Período</t>
  </si>
  <si>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</si>
  <si>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</si>
  <si>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</si>
  <si>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</si>
  <si>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</si>
  <si>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</si>
  <si>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</si>
  <si>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</si>
  <si>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</si>
  <si>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</si>
  <si>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</si>
  <si>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</si>
  <si>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</si>
  <si>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</si>
  <si>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</si>
  <si>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</si>
  <si>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</si>
  <si>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</si>
  <si>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</si>
  <si>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 xml:space="preserve">RESULTADOS ESPERADOS </t>
  </si>
  <si>
    <t>PRODUCTO</t>
  </si>
  <si>
    <t>ACTIVIDAD</t>
  </si>
  <si>
    <t>AREA RESPONSABLE</t>
  </si>
  <si>
    <t>AREA DE APOYO</t>
  </si>
  <si>
    <t>MEDIO VERIFICACIÓN</t>
  </si>
  <si>
    <t>RECOMENDACIONES/OBSERVACIONES</t>
  </si>
  <si>
    <t>DESCRIPCIÓN</t>
  </si>
  <si>
    <t>INDICADOR
PRODUCCION</t>
  </si>
  <si>
    <t>META</t>
  </si>
  <si>
    <t>PRIORIDAD</t>
  </si>
  <si>
    <t>Total ejecución</t>
  </si>
  <si>
    <t>% Ejecución</t>
  </si>
  <si>
    <t>% Acumulado</t>
  </si>
  <si>
    <t>Mejorar el buen desempeño profesional, aumentar el desarrollo del personal y el bienestar individual.</t>
  </si>
  <si>
    <t>Evaluación del Desempeño del Personal 2021.</t>
  </si>
  <si>
    <t>Plantilla de acuerdos de desempeño realizados.</t>
  </si>
  <si>
    <t>A</t>
  </si>
  <si>
    <t>Departamento de Evaluación del Desempeño y Capacitación.</t>
  </si>
  <si>
    <t>Todas las áreas institucionales.</t>
  </si>
  <si>
    <t>Informe de Resultados Evaluación del Desempeño.</t>
  </si>
  <si>
    <t>Plan de Capacitación 2021.</t>
  </si>
  <si>
    <t>No. de Plantillas de Capacitación.</t>
  </si>
  <si>
    <t>Fortalecer la Gestión Humana.</t>
  </si>
  <si>
    <t>Implementación del Sistema de Administración de Servidores Públicos (SASP).</t>
  </si>
  <si>
    <t>Implementación del SASP realizada.</t>
  </si>
  <si>
    <t>1 - Comunicación solicitud acompañamiento MAP.
2 - Solicitud base de datos servidores públicos a TIC.
3 - Envío datos al MAP.</t>
  </si>
  <si>
    <t>Departamento de Registro, Control y Nómina.</t>
  </si>
  <si>
    <t>- Dirección Ejecutiva.
- Dirección Administrativa Financiera.
- Departamento de Tecnologías de la Información y Comunicación.</t>
  </si>
  <si>
    <t>Programa anual de vacaciones 2021-2022.</t>
  </si>
  <si>
    <t>Informe anual de vacaciones.</t>
  </si>
  <si>
    <t>Preparación de Nómina.</t>
  </si>
  <si>
    <t>No. de Reportes de acciones de personal de nómina.</t>
  </si>
  <si>
    <t>- Dirección Ejecutiva.
- Dirección Administrativa Financiera.</t>
  </si>
  <si>
    <t>Elegir candidatos apropiados a las necesidades de la organización.</t>
  </si>
  <si>
    <t>Concursos para cargos de carrera.</t>
  </si>
  <si>
    <t>No. de concursos realizados.</t>
  </si>
  <si>
    <t>Departamento de Reclutamiento y Selección del Personal.</t>
  </si>
  <si>
    <t>Cubrir vacantes con personal necesario.</t>
  </si>
  <si>
    <t>Documento de designación de personal.</t>
  </si>
  <si>
    <t>B</t>
  </si>
  <si>
    <t>1 - Detección de necesidades de personal.
2 - Completar plantilla de Planificación de RRHH.
3 - Nombramiento del personal.</t>
  </si>
  <si>
    <t>Manual de Descripción de Cargos por Competencias.</t>
  </si>
  <si>
    <t>Manual de Descripción de Cargos actualizado y refrendado por el MAP.</t>
  </si>
  <si>
    <t>Departamento de Organización del Trabajo y Compensación.</t>
  </si>
  <si>
    <t>Planificación de Recursos Humanos.</t>
  </si>
  <si>
    <t>Plantilla de Planificación de Recursos Humanos.</t>
  </si>
  <si>
    <t>Departamento de Planificación y Desarrollo.</t>
  </si>
  <si>
    <t>Aplicación de las Políticas de Compensación y Beneficios.</t>
  </si>
  <si>
    <t>Informe de ejecución de las Políticas de Compensación y Beneficios.</t>
  </si>
  <si>
    <t>1 - Socializar las Políticas de Compensación y Beneficios.
2 - Verificar al personal a reconocer.
3 - Identificar medios para el reconocimiento.
4 - Reconocer al personal.</t>
  </si>
  <si>
    <t>- Departamento de Planificación y Desarrollo.
- Dirección Administrativa Financiera.</t>
  </si>
  <si>
    <t>Acta constitutiva.</t>
  </si>
  <si>
    <t>1 - Convocatoria a reunión a áreas determinadas en la guía.
2 - Determinar el Comité.
3 - Acta constitutiva.
4 - Inducción al Comité.
5 - Plan de trabajo.
6 - Socialización.</t>
  </si>
  <si>
    <t>División de Relaciones Laborales y Sociales.</t>
  </si>
  <si>
    <t>1 - Convocatoria a asamblea.
2 - Acta de asamblea.
3 - Validación de asamblea y resolución aprobatoria por el MAP.
4 - Socialización.</t>
  </si>
  <si>
    <t>Encuesta de Clima Organizacional.</t>
  </si>
  <si>
    <t>Informe de resultados.</t>
  </si>
  <si>
    <t>Comisión de Personal.</t>
  </si>
  <si>
    <t>Documento de designación del representante.</t>
  </si>
  <si>
    <t>1 - Reunión para determinar el representante de la MAE en la Comisión.
2 - Comunicación de la designación al MAP.</t>
  </si>
  <si>
    <t>Dirección Ejecutiva.</t>
  </si>
  <si>
    <t>Solicitud de pagos de prestaciones laborales y derechos adquiridos.</t>
  </si>
  <si>
    <t>No. de Informes con el cálculo de las prestaciones laborales y los derechos adquiridos.</t>
  </si>
  <si>
    <t>Dirección Administrativa Financiera.</t>
  </si>
  <si>
    <t>VISIÓN:
"Una República Dominicana con garantía de seguridad alimentaria, siendo como institución, parte de un sistema colaborativo entre instancias públicas y privadas del sector agropecuario".</t>
  </si>
  <si>
    <t>Nombre del área: Departamento de Seguridad Militar</t>
  </si>
  <si>
    <t>Nombre del área: Dirección Agropecuaria, Normas y Tecnología Alimentaria</t>
  </si>
  <si>
    <t>Eje Estratégico del PEI: 1. Establecimiento de esquemas de comercialización eficiente de productos agropecuarios.</t>
  </si>
  <si>
    <t>Nombre del área: Dirección de Abastecimiento, Distribución y Logística</t>
  </si>
  <si>
    <t>Nombre del área: Dirección de Comercialización</t>
  </si>
  <si>
    <t>Nombre del área: Dirección de Gestión de Programas</t>
  </si>
  <si>
    <t>Nombre del área: Dirección Ejecutiva</t>
  </si>
  <si>
    <t>Eje Estratégico del PEI: 2. Organización interna y aumento de la capacidad institucional.</t>
  </si>
  <si>
    <t>Nombre del área: Departamento de Comunicaciones</t>
  </si>
  <si>
    <t>Nombre del área: Departamento de Normas, Sistemas, Supervisión y Seguimiento</t>
  </si>
  <si>
    <t>Nombre del área: Departamento de Planificación y Desarrollo</t>
  </si>
  <si>
    <t>Nombre del área: Departamento de Tecnologías de la Información y Comunicación</t>
  </si>
  <si>
    <t>Nombre del área: Departamento Jurídico</t>
  </si>
  <si>
    <t>Nombre del área: Dirección Administrativa Financiera</t>
  </si>
  <si>
    <t>Nombre del área: Dirección de Recursos Humanos</t>
  </si>
  <si>
    <t>Nombre del área: Oficina de Libre Acceso a la Información</t>
  </si>
  <si>
    <t xml:space="preserve">Seguir prestando eficientemente la labor de la seguridad a las Bodegas Móviles, las Plantas Físicas, las diferentes gerencias y las propiedades que pertenecen a la Institución en el territorio nacional.   </t>
  </si>
  <si>
    <t>Seguridad Militar a las Plantas Físicas.</t>
  </si>
  <si>
    <t>No. de Servicios Realizados.</t>
  </si>
  <si>
    <t>Seguridad Militar a las Bodegas Móviles.</t>
  </si>
  <si>
    <t>1 - Planificar la seguridad que se brindará a las Bodegas Móviles.
2 - Organizar los militares que llevarán a cabo los servicios.
3 - Ejecutar los servicios programados.</t>
  </si>
  <si>
    <t>Seguridad Militar a los Agromercados.</t>
  </si>
  <si>
    <t>Seguridad Militar a los Funcionarios.</t>
  </si>
  <si>
    <t>No. de Militares Asignados.</t>
  </si>
  <si>
    <t>Seguridad Militar a Camiones de Abastecimiento.</t>
  </si>
  <si>
    <t>Departamento de Seguridad Militar.</t>
  </si>
  <si>
    <t>-</t>
  </si>
  <si>
    <t>1 - Hoja de análisis de los militares en servicios.                    
2 - Listado de personal militar asignado a cada planta.
3 - Militares asignados a cada planta.</t>
  </si>
  <si>
    <t>Dirección de Gestión de Programas.</t>
  </si>
  <si>
    <t>1 - Hoja de análisis de los militares en servicios.                    
2 - Listado de personal militar asignado a cada bodega.
3 - Militares asignados a cada bodega.</t>
  </si>
  <si>
    <t>1 - Hoja de análisis de los militares en servicios.                    
2 - Listado de personal militar asignado a cada Agromercado.
3 - Militares asignados a cada Agromercado.</t>
  </si>
  <si>
    <t>Todas las Áreas Institucionales.</t>
  </si>
  <si>
    <t>1 - Hoja de análisis de los militares en servicios.                    
2 - Listado de personal militar asignado a cada funcionario.
3 - Militares asignados a cada funcionario.</t>
  </si>
  <si>
    <t>1 - Hoja de análisis de los militares en servicios.                    
2 - Listado de personal militar asignado a cada camión de abastecimiento.
3 - Militares asignados a cada camión de abastecimiento.</t>
  </si>
  <si>
    <r>
      <t>1 - Planificar la seguridad que se brindará a las plantas.</t>
    </r>
    <r>
      <rPr>
        <b/>
        <sz val="12"/>
        <color rgb="FF000000"/>
        <rFont val="Calibri"/>
        <family val="2"/>
        <scheme val="minor"/>
      </rPr>
      <t xml:space="preserve">         </t>
    </r>
    <r>
      <rPr>
        <sz val="12"/>
        <color rgb="FF000000"/>
        <rFont val="Calibri"/>
        <family val="2"/>
        <scheme val="minor"/>
      </rPr>
      <t xml:space="preserve">
2 - Organizar los militares que llevarán a cabo los servicios.
3 - Ejecutar los servicios programados.</t>
    </r>
  </si>
  <si>
    <r>
      <t>1 - Planificar la seguridad que se brindará a los Agromercados.</t>
    </r>
    <r>
      <rPr>
        <b/>
        <sz val="12"/>
        <color rgb="FF000000"/>
        <rFont val="Calibri"/>
        <family val="2"/>
        <scheme val="minor"/>
      </rPr>
      <t xml:space="preserve">         </t>
    </r>
    <r>
      <rPr>
        <sz val="12"/>
        <color rgb="FF000000"/>
        <rFont val="Calibri"/>
        <family val="2"/>
        <scheme val="minor"/>
      </rPr>
      <t xml:space="preserve">
2 - Organizar los militares que llevarán a cabo los servicios.
3 - Ejecutar los servicios programados.</t>
    </r>
  </si>
  <si>
    <r>
      <t>1 - Planificar la seguridad que se brindará a los funcionarios.</t>
    </r>
    <r>
      <rPr>
        <b/>
        <sz val="12"/>
        <color rgb="FF000000"/>
        <rFont val="Calibri"/>
        <family val="2"/>
        <scheme val="minor"/>
      </rPr>
      <t xml:space="preserve">         </t>
    </r>
    <r>
      <rPr>
        <sz val="12"/>
        <color rgb="FF000000"/>
        <rFont val="Calibri"/>
        <family val="2"/>
        <scheme val="minor"/>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</si>
  <si>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scheme val="minor"/>
      </rPr>
      <t xml:space="preserve">         </t>
    </r>
    <r>
      <rPr>
        <sz val="12"/>
        <color rgb="FF000000"/>
        <rFont val="Calibri"/>
        <family val="2"/>
        <scheme val="minor"/>
      </rPr>
      <t xml:space="preserve">
2 - Organizar los militares que llevarán a cabo los servicios.
3 - Ejecutar los servicios programados.</t>
    </r>
  </si>
  <si>
    <t>Adiestrar tanto a Productores como Técnicos Agropecuarios para que estos sean más eficientes en sus labores de Comercialización.</t>
  </si>
  <si>
    <t>Capacitación a Asociaciones de Productores y a Cooperativas en Normas Técnicas de Calidad e Inocuidad.</t>
  </si>
  <si>
    <t>No. de Talleres realizados.</t>
  </si>
  <si>
    <t>1 - Solicitud de capacitación.
2 - Aprobación de capacitación.
3 - Notificación a asociaciones y cooperativas de pequeños y medianos productores.
4 - Llevar a cabo la capacitación.</t>
  </si>
  <si>
    <t>No. de Productores capacitados.</t>
  </si>
  <si>
    <t>Capacitación a Asociaciones y Cooperativas de pequeños y medianos productores sobre el proceso del Plan de Comercialización del INESPRE.</t>
  </si>
  <si>
    <t>Capacitación de Productores en Aspectos de Estándares de Calidad, Manejo de Post-Cosecha y Manejo de Productos Agropecuarios.</t>
  </si>
  <si>
    <t>1 - Solicitud de capacitación.
2 - Aprobación de capacitación.
3 - Notificación a productores.
4 - Llevar a cabo la capacitación.</t>
  </si>
  <si>
    <t>No. de Productores Agrícolas capacitados.</t>
  </si>
  <si>
    <t>Capacitación a Técnicos en Técnicas de Recepción y Almacenamiento de Productos Agrícolas (BPA).</t>
  </si>
  <si>
    <t>1 - Solicitud de capacitación.
2 - Aprobación de capacitación.
3 - Notificación a técnicos.
4 - Llevar a cabo la capacitación.</t>
  </si>
  <si>
    <t>No. de Técnicos capacitados.</t>
  </si>
  <si>
    <t>Capacitación de Técnicos en Aspectos Relativos a los Controles y Normas de la Aplicación de Plaguicidas en el Sector Agrícola.</t>
  </si>
  <si>
    <t>Tener la garantía de que las Áreas cumplen con los Estándares de Inocuidad para la Comercialización en el Sector Agrícola.</t>
  </si>
  <si>
    <t>Validación y Verificación de Limpiezas y Desinfección en Áreas de Comercialización y de Productos.</t>
  </si>
  <si>
    <t>No. de Validaciones.</t>
  </si>
  <si>
    <t>1 - Inspección del personal de producción bajo las normas de inocuidad.
2 - Validar los procedimientos de limpieza e higiene de productos locales.
3 - Definir estándares de Buenas Prácticas Agrícolas (BPA).</t>
  </si>
  <si>
    <t>Mejorar la competencia de los productores agropecuarios afiliados.</t>
  </si>
  <si>
    <t>Programa de afiliación de productores individuales, dando especial atención a mujeres y jóvenes.</t>
  </si>
  <si>
    <t>No. de Talleres realizados en Asociaciones de Mujeres.</t>
  </si>
  <si>
    <t>1 - Visita de orientación.</t>
  </si>
  <si>
    <t>No. De Asociaciones de Mujeres.</t>
  </si>
  <si>
    <t>No. de Mujeres entrenadas.</t>
  </si>
  <si>
    <t>No. de Talleres realizados en Asociaciones de jóvenes entre 18 y 24 años.</t>
  </si>
  <si>
    <t>No. de Asociaciones de jóvenes entre 18 y 24 años.</t>
  </si>
  <si>
    <t>No. de jóvenes entrenados entre 18 y 24 años.</t>
  </si>
  <si>
    <t>Preservar la Calidad de Vida de los diferentes Colaboradores del INESPRE, así como del Medio Ambiente.</t>
  </si>
  <si>
    <t>Programación de Control y Seguimiento de Aplicación de Normas de Plaguicidas.</t>
  </si>
  <si>
    <t>No. de Controles de Aplicación de Plaguicidas a realizar.</t>
  </si>
  <si>
    <t>1 - Inspección de productos almacenados.
2 - Coordinar con todas las instancias y dependencias las actividades de control de plagas.
3 - Validación de la actividad.</t>
  </si>
  <si>
    <t>Certificar las Condiciones Óptimas de los Productos Agropecuarios y Agroindustriales.</t>
  </si>
  <si>
    <t>Certificación de calidad e inocuidad (MP-1)  de los productos agropecuarios.</t>
  </si>
  <si>
    <t xml:space="preserve">No. de Certificaciones (MP-1) Análisis de Laboratorio de Productos Agropecuarios expedidos.                          </t>
  </si>
  <si>
    <t xml:space="preserve">1 - Recepción de productos agropecuarios.
2 - Análisis de productos agropecuarios.
3 - Decomisos de productos agropecuarios.    </t>
  </si>
  <si>
    <t>Expedición de Certificaciones de calidad e inocuidad de sus productos agropecuarios a otras instituciones.</t>
  </si>
  <si>
    <t xml:space="preserve">No. de Certificaciones de calidad e inocuidad (externa).                        </t>
  </si>
  <si>
    <t xml:space="preserve">1 - Recepción de muestras.
2 - Análisis de laboratorio.
3 - Entrega de la certificación.  </t>
  </si>
  <si>
    <t>Contar con equipos analíticos modernos para realizar mejor las labores de categorización de productos agrícolas.</t>
  </si>
  <si>
    <t>Solicitud de Compra de Equipos Analíticos Modernos para la Certificación de Productos Agropecuarios.</t>
  </si>
  <si>
    <t>No. de Equipos solicitados y comprados.</t>
  </si>
  <si>
    <t>1 - Realizar el levantamiento de equipos necesarios para analizar productos agropecuarios.
2 - Solicitar los equipos analíticos.
3 - Adquirir equipos.</t>
  </si>
  <si>
    <t>- Dirección Agropecuaria, Normas y Tecnología Alimentaria.
- Departamento de Normas Técnicas y Estándares de Calidad.
- Departamento de Inocuidad Agroalimentaria.</t>
  </si>
  <si>
    <t>- Sección de Protocolo.
- Departamento Administrativo.
- División de Compras y Contrataciones.
- Departamento de Comunicaciones.</t>
  </si>
  <si>
    <t>1 - Programar las capacitaciones.
2 - Calendario de actividades.
3 - Comunicación formal.
4 - Informe, listado de participantes y fotos.</t>
  </si>
  <si>
    <t>Dadas las características de estos talleres, deben ser regionales.</t>
  </si>
  <si>
    <t>- Dirección Agropecuaria, Normas y Tecnología Alimentaria.
-  Departamento de Formación en Comercialización Agropecuaria.
- Departamento de Servicios Agropecuarios.</t>
  </si>
  <si>
    <t>- Dirección Agropecuaria, Normas y Tecnología Alimentaria.
- Departamento de Formación en Comercialización Agropecuaria.</t>
  </si>
  <si>
    <t>- Dirección Agropecuaria, Normas y Tecnología Alimentaria.
- Departamento de Servicios Agropecuarios.
- Departamento de Normas Técnicas y Estándares de Calidad.</t>
  </si>
  <si>
    <t>- Dirección Agropecuaria, Normas y Tecnología Alimentaria.
- Departamento de Formación en Comercialización Agropecuaria.
- Departamento de Operaciones.</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</si>
  <si>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</si>
  <si>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</si>
  <si>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Informes y fotos.
2 - Informes.
3 - Informes.</t>
  </si>
  <si>
    <t>- Dirección Agropecuaria, Normas y Tecnología Alimentaria.
- Departamento de Formación en Comercialización Agropecuaria.
- Departamento de Servicios Agropecuarios (División de Afiliación).</t>
  </si>
  <si>
    <t>- Departamento Administrativo.
- Departamento de Planificación y Desarrollo.
- Protocolo.</t>
  </si>
  <si>
    <t>1 - Informe Relación de participantes y fotos.</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</si>
  <si>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</si>
  <si>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</si>
  <si>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</si>
  <si>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</si>
  <si>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</si>
  <si>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</si>
  <si>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</si>
  <si>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 Departamento de Inocuidad Agroalimentaria.
- Departamento de Servicios Agropecuarios.</t>
  </si>
  <si>
    <t>N/A.</t>
  </si>
  <si>
    <t>- Departamento Administrativo.
- División de Compras y Contrataciones.
- Departamento de Planificación y Desarrollo.</t>
  </si>
  <si>
    <t>1 - Relación de necesidades y/o requerimientos, listado de necesidades.
2 - Solicitud a través del formulario administrativo.
3 - Equipos comprados.</t>
  </si>
  <si>
    <t>Proveer de productos a los canales de comercialización y almacenes regionales para que estos lleguen a las comunidades de escasos recursos con productos de calidad en el tiempo requerido.</t>
  </si>
  <si>
    <t>Abastecimiento de Almacenes Regionales.</t>
  </si>
  <si>
    <t>No. de Servicios de Abastecimiento.</t>
  </si>
  <si>
    <t>1 - Planificar la logística de abastecimiento y distribución de los productos.
2 - Abastecer productos y ejecutar ruta almacenes regionales.</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</si>
  <si>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</si>
  <si>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</si>
  <si>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</si>
  <si>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Abastecimiento de Ferias Agropecuarias.</t>
  </si>
  <si>
    <t>No. de Ferias Agropecuarias Abastecidas.</t>
  </si>
  <si>
    <t>C</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</si>
  <si>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</si>
  <si>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Abastecimiento de Redes de Agromercados.</t>
  </si>
  <si>
    <t>No. de Agromercados Abastecidos al final del año.</t>
  </si>
  <si>
    <t>1 - Planificar la logística de abastecimiento de los Agromercados.
2 - Solicitar y gestionar los recursos económicos al área financiera.
3 - Preparar la logística de los locales.</t>
  </si>
  <si>
    <t>Dirección de Abastecimiento, Distribución y Logística.</t>
  </si>
  <si>
    <t>- Dirección de Comercialización.
- Dirección de Gestión de Programas.
- Dirección Agropecuaria, Normas y Tecnología Alimentaria.
- Dirección Administrativa Financiera.</t>
  </si>
  <si>
    <t>1 - Programa semanal de abastecimiento y distribución.
2 - Reporte diario de abastecimiento y distribución.</t>
  </si>
  <si>
    <t xml:space="preserve">1 - Programa semanal de abastecimiento y distribución.
2 - Reporte diario de abastecimiento y distribución.
3 - Documento de carga/descarga diario.
4 - Programa semanal de abastecimiento y distribución. </t>
  </si>
  <si>
    <t>1  - Programa de abastecimiento de los Agromercados. 
2 - Solicitud de recursos económicos.
3 - Programa de logística de los locales.</t>
  </si>
  <si>
    <t>Dar fiel cumplimiento a las políticas de requerimientos de compras de los Rubros Agropecuarios para su venta y distribución en los Canales de Comercialización de acuerdo con lo establecido en los Manuales de Procedimientos.</t>
  </si>
  <si>
    <t>Requerimientos de Compras de Productos en el 2021.</t>
  </si>
  <si>
    <t>Cantidad de Requerimientos de Compras de Productos en el 2021 entregados a la División de Compras y Contrataciones.</t>
  </si>
  <si>
    <t>1 - Investigar los componentes de la Canasta Básica Familiar.
2 - Seleccionar los Rubros Agropecuarios y la cantidad que se va a comprar de acuerdo a la programación.
3 - Investigación y fijación de precios.</t>
  </si>
  <si>
    <t>Estabilizar los precios de los Rubros Agropecuarios comercializados en el mercado nacional.</t>
  </si>
  <si>
    <t>Fijación de Precios.</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</si>
  <si>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</si>
  <si>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</si>
  <si>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xml:space="preserve">Ofertar a la población productos aptos e inocuos y la obtención de mejores precios.
Facilitar la comercialización directa entre el productor y el consumidor final. </t>
  </si>
  <si>
    <t>Gestión de Proveedores.</t>
  </si>
  <si>
    <t>No. de invitaciones a Productores Agropecuarios para su participación en las Ferias Agropecuarias.</t>
  </si>
  <si>
    <t>1 - Crear y mantener actualizada una Base de Datos de los Principales Productores y sus respectivos Rubros Agropecuarios.                  
2 - Acordar con los Productores los precios de ventas de los Rubros Agropecuarios a comercializar.</t>
  </si>
  <si>
    <t>No. de invitaciones a Productores Agropecuarios para su participación en los Mercados de Productores.</t>
  </si>
  <si>
    <t>Agentes comerciales agropecuarios con acceso a información relevante del mercado.</t>
  </si>
  <si>
    <t>Boletín Estadístico de la Comercialización Agropecuaria.</t>
  </si>
  <si>
    <t>No. de Boletines emitidos.</t>
  </si>
  <si>
    <t>1 - Reportar los productos y sus respectivas cantidades comercializadas en el mes.</t>
  </si>
  <si>
    <t>Aumentar el volumen de comercialización de los productores agropecuarios.</t>
  </si>
  <si>
    <t>Desarrollo y capacitación de productores agropecuarios para la exportación.</t>
  </si>
  <si>
    <t>Cantidad de productores capacitados.</t>
  </si>
  <si>
    <t>1 - Crear una Base de Datos de los principales productores agropecuarios con capacidad para exportar.
2 - Coordinar con entidades externas para capacitar a productores con capacidad productiva de exportación.</t>
  </si>
  <si>
    <t xml:space="preserve">Ofertar a las Instituciones del Gobierno productos agropecuarios.
</t>
  </si>
  <si>
    <t xml:space="preserve">Programa de venta a instituciones del Gobierno </t>
  </si>
  <si>
    <t>Monto en Ventas.</t>
  </si>
  <si>
    <t>1 - Abastecer las Instituciones del Gobierno con los productos agropecuarios.</t>
  </si>
  <si>
    <t>Dirección de Comercialización.</t>
  </si>
  <si>
    <t>- Departamento de Planificación y Desarrollo.
- Dirección de Abastecimiento, Distribución y Logística.
- Dirección Agropecuaria, Normas y Tecnología Alimentaria.
- Dirección de Gestión de Programas.
- División de Compras y Contrataciones.</t>
  </si>
  <si>
    <t>1 - Documento de requerimientos de compras de productos e informes realizados.
2 - Plan de Compras.
3 - Plantillas de levantamientos de precios e informes.</t>
  </si>
  <si>
    <t xml:space="preserve">
- Dirección Agropecuaria, Normas y Tecnología Alimentaria.</t>
  </si>
  <si>
    <t>1 - Plantillas de levantamientos de precios e informes.
2 - Plantilla de Fijación de Precios, correo electrónico e informes.</t>
  </si>
  <si>
    <t xml:space="preserve">- Dirección de Gestión de Programas.
- Dirección Agropecuaria, Normas y Tecnología Alimentaria.
</t>
  </si>
  <si>
    <t>1 - Base de Datos de Productores y documentos de invitación.
2 - Comunicación escrita y correo electrónico.</t>
  </si>
  <si>
    <t>- Dirección de Gestión de Programas.                                               - División de Fiscalización.
- Dirección Ejecutiva.
- Departamento de Planificación y Desarrollo.</t>
  </si>
  <si>
    <t>1 - Formulario M-P 5 e informes.</t>
  </si>
  <si>
    <t>- Dirección Ejecutiva.
- Departamento Jurídico.
- Dirección Agropecuaria, Normas y Tecnología Alimentaria.
- Entidades Externas.</t>
  </si>
  <si>
    <t>1 - Base de Datos de productores.
2 - Acuerdos interinstitucionales e informes.</t>
  </si>
  <si>
    <t xml:space="preserve">
- Dirección Agropecuaria, Normas y Tecnología Alimentaria.
- Entidades Externas.</t>
  </si>
  <si>
    <t>1 - Facturas de venta.</t>
  </si>
  <si>
    <t>Ejecución de Mercados de Productores.</t>
  </si>
  <si>
    <t>No. de Mercados de Productores Ejecutados.</t>
  </si>
  <si>
    <t>1 - Programación y planificación de los mercados.
2 - Solicitar y gestionar los recursos económicos al área financiera.
3 - Levantamiento del lugar.
4 - Preparar la logística del lugar.</t>
  </si>
  <si>
    <t>No. de productores beneficiados.</t>
  </si>
  <si>
    <t>No. de Consumidores Beneficiados.</t>
  </si>
  <si>
    <t>Ejecución de Bodegas Móviles.</t>
  </si>
  <si>
    <t>No. de Bodegas Móviles Ejecutadas.</t>
  </si>
  <si>
    <t>1 - Programación y planificación de las bodegas.
2 - Solicitar y gestionar los recursos económicos al área financiera.
3 - Preparar la logística de las bodegas.</t>
  </si>
  <si>
    <t>Ejecución de Ferias Agropecuarias.</t>
  </si>
  <si>
    <t>No. de Ferias Agropecuarias Ejecutadas.</t>
  </si>
  <si>
    <t>1 - Programación y planificación de las ferias.
2 - Presentar a la MAE la programación de las ferias.
3 - Solicitar y gestionar los recursos económicos al área financiera.
4 - Levantamiento del lugar.
5 - Preparar la logística del lugar.</t>
  </si>
  <si>
    <t>Ejecución de Red de Agromercados.</t>
  </si>
  <si>
    <t>No. de Agromercados Ejecutados al final del año.</t>
  </si>
  <si>
    <t>1 - Programación y planificación de los agromercados.
2 - Dar a conocer a la MAE la programación de los agromercados.
3 - Solicitar y gestionar los recursos económicos al área financiera.
4 - Estudio del mercado.
5 - Preparar la logística de los locales.</t>
  </si>
  <si>
    <t>Medir el nivel de satisfacción de los servicios comprometidos a través de diferentes medios de comunicación.</t>
  </si>
  <si>
    <t>Carta de Compromiso al Ciudadano.</t>
  </si>
  <si>
    <t>No. de encuestas realizadas.</t>
  </si>
  <si>
    <t>1 - Recibir la muestra para el levantamiento de la encuesta.
2 - Recibir el cuestionario a realizar en la encuesta.
3 - Distribuir los cuestionarios por zonas.
4 - Recibir y enviar los cuestionarios al Departamento de Planificación y Desarrollo.</t>
  </si>
  <si>
    <t>- Dirección de Comercialización.
- Dirección de Abastecimiento, Distribución y Logística.
- Dirección Agropecuaria, Normas y Tecnología Alimentaria.</t>
  </si>
  <si>
    <t>1 - Programación Mercados de Productores.
2 - Presupuestos de Mercados Fijos, Transferencias de Mercados Fijos.
3 - Fotos.
4 - Relación de Pagos, Liquidación de Presupuestos.</t>
  </si>
  <si>
    <t>1 - Agenda Semanal, Programación Bodegas Móviles.
2 - Matriz de Gastos Operativos, Relación de Listados de los Departamentos de Transportación, Seguridad Militar y Bodegas Móviles.
3 - Ejecución Bodegas Móviles.</t>
  </si>
  <si>
    <t>1 - Programación Ferias Agropecuarias.
2 - Comunicación y Acta de Reunión.
3 - Matriz de gastos operativos.
4 - Fotos.
5 - Relación de Pagos.</t>
  </si>
  <si>
    <t>1 - Programación Agromercados.
2 - Comunicación y Acta de Reunión.
3 - Matriz de gastos operativos.
4 - Informes Estudios de Mercados.
5 - Fotos, Relación de pagos de los gastos.</t>
  </si>
  <si>
    <t>- Dirección Ejecutiva.
- Departamento de Planificación y Desarrollo.
- Departamento de Comunicaciones.</t>
  </si>
  <si>
    <t>1 - Correo electrónico de la División de Desarrollo Institucional y Calidad en la gestión.
2 - Correo electrónico del Departamento de Planificación.
3 - Carta de Entrega a los gerentes provinciales y regionales.
4 - Carta de envío y entrega al Departamento de Planificación y Desarrollo.</t>
  </si>
  <si>
    <t>Ejecutar de forma efectiva y eficaz los planes, proyectos, normas y procesos de nuevas regulaciones.</t>
  </si>
  <si>
    <t>Directorio Ejecutivo.</t>
  </si>
  <si>
    <t>No. de encuentros programados.</t>
  </si>
  <si>
    <t>1 - Coordinar fecha, hora y lugar donde se va a llevar a cabo el encuentro.
2 - Convocar miembros al Consejo Directorio Ejecutivo.
3 - Efectuar el encuentro.</t>
  </si>
  <si>
    <t>STAFF Ejecutivo.</t>
  </si>
  <si>
    <t>No. de reuniones.</t>
  </si>
  <si>
    <t>1 - Planificar la fecha, hora y lugar del encuentro.
2 - Convocatoria a los líderes de las direcciones y departamentos.
3 - Preparar agenda.</t>
  </si>
  <si>
    <t>Asegurar el abastecimiento de los productos para que no les falte a la población e impulsar el desarrollo agropecuario.</t>
  </si>
  <si>
    <t>Reuniones con el Ministro de Agricultura.</t>
  </si>
  <si>
    <t>No. de encuentros con la MAE.</t>
  </si>
  <si>
    <t>1 - Solicitar cita con el Ministro.
2 - Presentar Resultados y nuevos proyectos/programas de la Institución.
3 - Presentar status y ejecución de los programas actuales.</t>
  </si>
  <si>
    <t>Visitas a los productores.</t>
  </si>
  <si>
    <t>No. de visitas.</t>
  </si>
  <si>
    <t>1 - Planificar las visitas.
2 - Convocar a los acompañantes.
3 - Realizar las visitas y hacer levantamiento de las condiciones de sus productos.</t>
  </si>
  <si>
    <t>Montaje exitoso de las ferias propuestas.</t>
  </si>
  <si>
    <t>Coordinación para ejecución de Ferias Agropecuarias.</t>
  </si>
  <si>
    <t>No. de Ferias coordinadas.</t>
  </si>
  <si>
    <t>1 - Montaje  y preparación logística. 
2 - Invitación a los productores y participantes externos.
3 - Hacer requerimientos de lugar.
4 - Llevar a cabo la feria.</t>
  </si>
  <si>
    <t>Apertura de Agromercados.</t>
  </si>
  <si>
    <t>Apoyo a la rehabilitación de Agromercados.</t>
  </si>
  <si>
    <t>No. de Agromercados Rehabilitados al final del año.</t>
  </si>
  <si>
    <t>1  - Montaje  y preparación logística. 
2 - Levantamiento y diagnóstico de necesidades.
3 - Reparación y habilitación de infraestructura.
4 - Apertura de los Agromercados.</t>
  </si>
  <si>
    <t>Agregar más productos a la canasta que ofrece la Institución a los consumidores.</t>
  </si>
  <si>
    <t>Soporte técnico en la expansión de la oferta de las bodegas móviles.</t>
  </si>
  <si>
    <t>No. de combos alimenticios.</t>
  </si>
  <si>
    <t>1 - Adquisición de productos por alguna coyuntura especial.
2 - Estudio de los productos que la población más demanda.
3 - Ubicar los productores de dicho producto.
4 - Lograr acuerdo de venta con la Institución.
5 - Agregar productos a nuestro listado.</t>
  </si>
  <si>
    <t>Montaje del software.</t>
  </si>
  <si>
    <t>Coordinar el apoyo para el montaje de un software de contabilidad para los programas de la Institución.</t>
  </si>
  <si>
    <t>Software implementado.</t>
  </si>
  <si>
    <t>1 - Diagnóstico y levantamiento de las necesidades.
2 - Comprar el software.
3 - Montaje del mismo.</t>
  </si>
  <si>
    <t>Aportar estadísticas al sector Agropecuario.</t>
  </si>
  <si>
    <t>Convenio Interinstitucional INESPRE-ONE.</t>
  </si>
  <si>
    <t>No. de Minutas Reuniones.</t>
  </si>
  <si>
    <t>1 - Levantamiento de información de todos los departamentos que pueden aportar datos valiosos.
2 - Ejecución del convenio.</t>
  </si>
  <si>
    <t>Apoyar a los productores y a los consumidores.</t>
  </si>
  <si>
    <t>Convenio Interinstitucional Ministerio de Agricultura-INESPRE-Proconsumidor.</t>
  </si>
  <si>
    <t>1 - Levantamiento de información diaria sobre precios de los productos de la canasta básica.
2 - Ejecución del convenio.</t>
  </si>
  <si>
    <t>Mejorar la Comercialización Agropecuaria Nacional.</t>
  </si>
  <si>
    <t>Convenio INESPRE-Confenagro.</t>
  </si>
  <si>
    <t>1 - Promoción de nuevas oportunidades de inversión en la comercialización agropecuaria y ayuda a los productores sobre comercialización de sus productos.
2 - Ejecución del convenio.</t>
  </si>
  <si>
    <t>Facilitar transporte gratuito a los empleados de la Institución.</t>
  </si>
  <si>
    <t>Convenio INESPRE-OMSA.</t>
  </si>
  <si>
    <t>1 - Transporte gratuito para los empleados del INESPRE, como adicional de compensación.
2 - Ejecución del convenio.</t>
  </si>
  <si>
    <t>Ayudar al Proyecto a comercializar los productos que siembre a través de los programas que desarrolla la Institución.</t>
  </si>
  <si>
    <t>Convenio INESPRE-Proyecto Cruz de Manzanillo</t>
  </si>
  <si>
    <t>1 - Compra de productos para comercializar a través del INESPRE.</t>
  </si>
  <si>
    <t>Ayudar a la comercialización de carne de pescado nacional.</t>
  </si>
  <si>
    <t>Convenio INESPRE-CODOPESCA.</t>
  </si>
  <si>
    <t>1 - Participación de los agricultores en las ferias de productores del INESPRE.</t>
  </si>
  <si>
    <t>Cooperación mutua entre ambas instituciones.</t>
  </si>
  <si>
    <t>Convenio INESPRE-UASD.</t>
  </si>
  <si>
    <t>1 - Pasantías a estudiantes de Agronomía de la UASD en la institución.
2 - Participación de profesores de la UASD en capacitaciones internas del INESPRE.</t>
  </si>
  <si>
    <t>-Sección de Protocolo.</t>
  </si>
  <si>
    <t>1-  Correos electrónicos.
2-Convocatoria                 
3- Registro de participantes e Informe y Asamblea o Minuta del Directorio.</t>
  </si>
  <si>
    <t>Las fechas de las celebraciones de los consejos no son previamente establecidas.</t>
  </si>
  <si>
    <t>1- Notificación vía chat grupal.
2- Convocatoria.
3- Registro de participantes e Informe y  Minuta del encuentro.</t>
  </si>
  <si>
    <t>Fechas no establecidas.</t>
  </si>
  <si>
    <t>Áreas operativas del INESPRE.</t>
  </si>
  <si>
    <t>1- Registro de  mensajes convocando.
2- Fotografías de las visitas.
3-  Minuta de reunión.</t>
  </si>
  <si>
    <t>Gerencias regionales.</t>
  </si>
  <si>
    <t>1- Agenda del Director.
 2- Convocatoria.
 3- Fotografías de las visitas e Informes.</t>
  </si>
  <si>
    <t>Subdirección Ejecutiva.</t>
  </si>
  <si>
    <t>- Dirección de Gestión de Programas.
- Dirección de Comercialización.
- División de Compras y Contrataciones.
- Dirección de Abastecimiento, Distribución y Logística.
- Dirección Administrativa Financiera.</t>
  </si>
  <si>
    <t xml:space="preserve">
1 - Comunicaciones internas.
2 - Cartas.
3 - Noticias digitales en la página web del INESPRE y prensa en general.
4 - Publicaciones en redes sociales  e inauguración.</t>
  </si>
  <si>
    <t>- Dirección de Gestión de Programas.
- Dirección de Comercialización.
- Dirección de Abastecimiento, Distribución y Logística.
- Dirección Administrativa Financiera.</t>
  </si>
  <si>
    <t>1 - Correos con requerimientos.
2 - Comunicaciones.
3 - Publicaciones en redes sociales.
4 - Inauguración de Agromercados.</t>
  </si>
  <si>
    <t>- Departamento de Tecnologías de la Información y Comunicación.
- Dirección de Comercialización.</t>
  </si>
  <si>
    <t>1 - Correos y comunicaciones internas sobre situación.
2 - Cartas externas.
3 - Contacto con productores.
4 - Concretar acuerdos o convenios.
5 - Expansión de la oferta en los programas.
6 - Publicación en redes.</t>
  </si>
  <si>
    <t>Departamento de Tecnologías de la Información y Comunicación.</t>
  </si>
  <si>
    <t>1 - Comunicaciones.
2 - Requerimientos a compras internos.
3 - Sistema montado.</t>
  </si>
  <si>
    <t>Oficina de Relaciones Interinstitucionales.</t>
  </si>
  <si>
    <t>1 - Minutas de las reuniones.
2 - Convenio firmado.</t>
  </si>
  <si>
    <t>- Dirección de Comercialización.
- Departamento de Tecnología de la Información y Comunicación.</t>
  </si>
  <si>
    <t>1 - Reporte de precios.
2 - Convenio firmado.</t>
  </si>
  <si>
    <t>- Dirección Ejecutiva.
- Dirección de Comercialización.</t>
  </si>
  <si>
    <t>1 - Ferias de productores y capacitaciones.
2 - Convenio firmado.</t>
  </si>
  <si>
    <t>Dirección de Recursos Humanos.</t>
  </si>
  <si>
    <t>1 - Comunicación interna.
2 - Convenio firmado.</t>
  </si>
  <si>
    <t>1 - Órdenes de compra.</t>
  </si>
  <si>
    <t>- Dirección de Gestión de Programas.
- Dirección de Comercialización.</t>
  </si>
  <si>
    <t>1 - Convenio firmado.</t>
  </si>
  <si>
    <t>- Dirección de Recursos Humanos.
- Dirección Agropecuaria, Normas y Tecnología Alimentaria.
- Dirección de Comercialización.</t>
  </si>
  <si>
    <t>1 - Reporte de pasantías por la Dirección de Recursos Humanos.
2 - Informes de talleres realizados, fotos, noticias en la página web.</t>
  </si>
  <si>
    <t>Publicar información institucional en diferentes medios digitales e impresos.</t>
  </si>
  <si>
    <t>Notas de prensa.</t>
  </si>
  <si>
    <t>No. de Notas de prensa realizadas.</t>
  </si>
  <si>
    <t>1 - Seleccionar tema.
2 - Redactar nota de prensa.
3 - Corregir la nota.
4 - Enviarla al medio a publicar.</t>
  </si>
  <si>
    <t>Cartas aniversarios de medios.</t>
  </si>
  <si>
    <t>No. de Cartas de aniversario.</t>
  </si>
  <si>
    <t>1 - Seleccionar el medio.
2 - Redactar las cartas.
3 - Enviarla a la Dirección Ejecutiva para firma y sello.
4 - Enviar carta al medio.</t>
  </si>
  <si>
    <t>Coordinación para envío de Bodegas Móviles a los medios.</t>
  </si>
  <si>
    <t>No. de Bodegas Móviles para enviar.</t>
  </si>
  <si>
    <t xml:space="preserve">B  </t>
  </si>
  <si>
    <t>1 -  Solicitud del medio de comunicación.
2 - Remitir solicitud a Dirección de Gestión de Programas.
3 - Enviar las Bodegas Móviles a dicho medio.</t>
  </si>
  <si>
    <t>Entrevistas al Director.</t>
  </si>
  <si>
    <t>No. de entrevistas realizadas.</t>
  </si>
  <si>
    <t>1 - Solicitar una entrevista.
2 - Esperar la fecha a ser entrevistado y asistir el día establecido.</t>
  </si>
  <si>
    <t>Agenda del día.</t>
  </si>
  <si>
    <t>No. de Agendas publicadas.</t>
  </si>
  <si>
    <t>1 - Hacer solicitud de agenda en el medio.</t>
  </si>
  <si>
    <t>Reducir los niveles de quejas.</t>
  </si>
  <si>
    <t>Pagos por capítulo de publicidad.</t>
  </si>
  <si>
    <t>No. de pagos realizados.</t>
  </si>
  <si>
    <t>1 - Enviar la factura.
2 - Solicitar el pago.
3 - Enviar a los Departamentos correspondientes.</t>
  </si>
  <si>
    <t>Mantener a los empleados al tanto de las actividades de mayor relevancia de la Institución.</t>
  </si>
  <si>
    <t>Actualizaciones de los murales digitales.</t>
  </si>
  <si>
    <t>No. de actualizaciones programadas.</t>
  </si>
  <si>
    <t>1 - Seleccionar el texto a mostrar.
2 - Cambiar el contenido anterior por el nuevo.</t>
  </si>
  <si>
    <t>Actualizaciones del portal.</t>
  </si>
  <si>
    <t>1 - Crear contenidos.
2 - Subir fotos e informaciones.
3 - Dar seguimiento al portal.</t>
  </si>
  <si>
    <t>Publicaciones en Redes  Sociales.</t>
  </si>
  <si>
    <t>No. de publicaciones.</t>
  </si>
  <si>
    <t>1 - Crear contenidos.
2 - Subir fotos y videos e informaciones de interés.
3 - Monitorear las visualizaciones y comentarios.</t>
  </si>
  <si>
    <t>Dar a conocer ocasiones especiales de la Institución a la población.</t>
  </si>
  <si>
    <t>Fotos institucionales.</t>
  </si>
  <si>
    <t>No. de fotos.</t>
  </si>
  <si>
    <t>1 - Ir al lugar o programa determinado.
2 - Hacer las fotos.
3 - Subir y archivar.</t>
  </si>
  <si>
    <t>Videos institucionales.</t>
  </si>
  <si>
    <t>No. de videos.</t>
  </si>
  <si>
    <t>1 - Ir a la actividad solicitada.
2 - Grabar el evento.
3 - Archivar videos.</t>
  </si>
  <si>
    <t>Infomerciales institucionales.</t>
  </si>
  <si>
    <t>No. de infomerciales.</t>
  </si>
  <si>
    <t>1 - Conocer el tema a promocionar.
2 - Recoger las informaciones y luego hacer el spot.
3 - Promoción.</t>
  </si>
  <si>
    <t>Dar a conocer información de las ventas de los Mercados de Productores y las Bodegas Móviles a la población.</t>
  </si>
  <si>
    <t>Promociones institucionales.</t>
  </si>
  <si>
    <t>No. de promociones.</t>
  </si>
  <si>
    <t>1 - Seleccionar el sector donde se anunciará.
2 - Grabar el contenido indicado a promocionar.
3 - Enviar la bodega móvil a dicho sector.</t>
  </si>
  <si>
    <t>Institución con credibilidad y buena reputación a nivel nacional e internacional.</t>
  </si>
  <si>
    <t>Encuesta de posicionamiento de la marca INESPRE.</t>
  </si>
  <si>
    <t>No. de Encuestas realizadas</t>
  </si>
  <si>
    <t>1 - Diseñar el cuestionario.
2- Aplicar prueba piloto.
3 - Validar cuestionario.
4 - Realizar levantamiento estadístico.</t>
  </si>
  <si>
    <t>Informar al Director y empleados de temas del sector agropecuario y económico.</t>
  </si>
  <si>
    <t>Síntesis informativa.</t>
  </si>
  <si>
    <t>No. de síntesis realizadas.</t>
  </si>
  <si>
    <t>1 - Recolección de información en los medios digitales e impresos.
2 - Envío de síntesis a los correos electrónicos y de forma física.</t>
  </si>
  <si>
    <t>Dar a conocer todo lo realizado por el INESPRE.</t>
  </si>
  <si>
    <t>Revista institucional.</t>
  </si>
  <si>
    <t>No. de Revistas realizadas.</t>
  </si>
  <si>
    <t>1 - Nota de prensa.
2 - Recolección de información.
3 - Corrección de texto y estilo.</t>
  </si>
  <si>
    <t>Cubrir los requerimientos de las Direcciones o Departamentos solicitantes para proyectarlos en imagen.</t>
  </si>
  <si>
    <t>Solicitud de cobertura.</t>
  </si>
  <si>
    <t>No. de coberturas realizadas.</t>
  </si>
  <si>
    <t>1 - Solicitud de servicio.
2 - Cubrir la actividad.
3 - Cobertura realizada.</t>
  </si>
  <si>
    <t>Informar de forma resumida las noticias cubiertas por la institución.</t>
  </si>
  <si>
    <t>Cápsula informativa.</t>
  </si>
  <si>
    <t>No. de cápsulas.</t>
  </si>
  <si>
    <t>1 - Revisar las notas de prensa.
2 - Realizar la selección del texto.
3 - Grabar el video.</t>
  </si>
  <si>
    <t>Sección de Prensa.</t>
  </si>
  <si>
    <t xml:space="preserve">1 - Calendario de efemérides.
2,3 - Solicitud de actividad.
4 - Publicación en la página y publicación en el medio enviado. </t>
  </si>
  <si>
    <t>Departamento de Comunicaciones.</t>
  </si>
  <si>
    <t>-Dirección Ejecutiva.</t>
  </si>
  <si>
    <t>1 - Lista de aniversarios de medios.
2,3 - Carta impresa de felicitación.
4 - Carta recibida.</t>
  </si>
  <si>
    <t>-Dirección de Gestión de Programas.</t>
  </si>
  <si>
    <t>1,2 - Correo electrónico.
3 - Carta.</t>
  </si>
  <si>
    <t>1 - Correo electrónico.
2 - Fotos y videos de entrevista.</t>
  </si>
  <si>
    <t>-Medios de Comunicación externos.</t>
  </si>
  <si>
    <t>1 - Reporte de la publicación impresa del medio.</t>
  </si>
  <si>
    <t>-Dirección Administrativa Financiera.</t>
  </si>
  <si>
    <t>1 - Facturas.
2 - Correo electrónico.
3 - Carta impresa recibida.</t>
  </si>
  <si>
    <t>1- Correo electrónico.
2 - Visualización del contenido en la pantalla.</t>
  </si>
  <si>
    <t>1 - Listado de efemérides, fotos.
2,3 - Página institucional.</t>
  </si>
  <si>
    <t>1 - Fotos.
2 - Publicaciones.
3 - Mediciones.</t>
  </si>
  <si>
    <t>1,2 - Fotos, documento, memorias.
3 - Página institucional y redes sociales.</t>
  </si>
  <si>
    <t>1 - Programación de los canales de comercialización de la Institución.
2 - Texto del contenido a grabar.
3 - Audio.</t>
  </si>
  <si>
    <t>-Departamento de Planificación y Desarrollo.</t>
  </si>
  <si>
    <t>1 - Preguntas elaboradas.
2 - Resultado prueba piloto.
3 - Presentación del cuestionario final a las áreas involucradas vía correo electrónico.
4 - Resultado obtenido de la encuesta.</t>
  </si>
  <si>
    <t>1 - Sitios web.
2 - Correos electrónicos, síntesis impresa, síntesis electrónica.</t>
  </si>
  <si>
    <t>1,2 - Notas de prensa publicadas en la página web institucional.
3 - Revista culminada.</t>
  </si>
  <si>
    <t>-Todas las Direcciones o Departamentos de la Institución.</t>
  </si>
  <si>
    <t>1 - Cartas de solicitud.
2 -  Correos electrónicos, fotos, videos.</t>
  </si>
  <si>
    <t>1,2 - Notas de prensa publicadas en la página web institucional.
3 - Video realizado.</t>
  </si>
  <si>
    <t>Asegurar que las actividades se lleven a cabo de forma eficiente.</t>
  </si>
  <si>
    <t>Asistencia a talleres de capacitación.</t>
  </si>
  <si>
    <t>No. de talleres a los cuales se van a asistir.</t>
  </si>
  <si>
    <t>1 - Realizar la solicitud al departamento correspondiente ya sea la División de Compras y Contrataciones, Dirección Administrativa Financiera.
2 - Ejecución de actividad.
3 - Recepción de servicios.</t>
  </si>
  <si>
    <t>Asistencia a las reuniones de las diferentes Direcciones o Departamentos.</t>
  </si>
  <si>
    <t>No. de comunicaciones para solicitar las reuniones en el salón de conferencias.</t>
  </si>
  <si>
    <t>1 - Realizar la solicitud al departamento correspondiente ya sea la División de Compras y Contrataciones o Dirección Administrativa Financiera.
2 - Ejecución de actividad.
3 - Recepción de servicios.</t>
  </si>
  <si>
    <t>Mantener nuestra identidad nacional e institucional a través de la conmemoración de estas fechas.</t>
  </si>
  <si>
    <t>Celebración de las efemérides, Misa de aniversario, Fiesta navideña.</t>
  </si>
  <si>
    <t>No. de Actividades programadas para organizar.</t>
  </si>
  <si>
    <t>Cumplir con las expectativas solicitadas.</t>
  </si>
  <si>
    <t>Decoraciones florales.</t>
  </si>
  <si>
    <t>No. de decoraciones programadas.</t>
  </si>
  <si>
    <t>1 - Recibir  el requerimiento.
2 - Ejecutar el mismo.</t>
  </si>
  <si>
    <t>Sección de Protocolo.</t>
  </si>
  <si>
    <t>-División de Compras y Contrataciones.
-Dirección Administrativa Financiera.</t>
  </si>
  <si>
    <t>1 - Solicitud de elaboración de  talleres.
2 - Comunicaciones enviadas a las áreas.
3 - Realización de la recepción del servicio.</t>
  </si>
  <si>
    <t>1 - Comunicaciones enviadas a las áreas.
2 - Listados de asistencia.
3 - Apoyo brindado por el auxiliar de protocolo.</t>
  </si>
  <si>
    <t>1 - Solicitud a las diferentes Direcciones o Departamentos.
2 - El material audiovisual que realiza comunicaciones.
3 - Asistencia de auxiliar de protocolo.</t>
  </si>
  <si>
    <t>1 - Requerimiento al Departamento Financiero o a la División de Compras y Contrataciones.
2 - Decoraciones colocadas en su respectivo lugar.</t>
  </si>
  <si>
    <t>Lograr el mejor funcionamiento en las actividades realizadas en las áreas.</t>
  </si>
  <si>
    <t>Auditorías de cumplimiento de las normas.</t>
  </si>
  <si>
    <t>No. de Auditorías programadas.</t>
  </si>
  <si>
    <t>1 - Solicitud de auditoría para fines de aprobación.
2 - Aprobación de auditoría a ejecutar.
3 - Ejecución de la auditoría.</t>
  </si>
  <si>
    <t>Auditoría de procedimientos de las áreas.</t>
  </si>
  <si>
    <t>Registrar todos los documentos, validar, evaluar y controlar mediante estos la ejecución de las actividades institucionales.</t>
  </si>
  <si>
    <t>Validación, evaluación y control de documentos de ejecución, administración y de operaciones.</t>
  </si>
  <si>
    <t>No. de Informe de revisión y verificación de documentos, procesados por su cumplimiento con las normas y los procedimientos.</t>
  </si>
  <si>
    <t>1 - Recepción de los documentos de todas las áreas.
2 - Revisión de los documentos.
3 - Corrección de los documentos.
4 - Entrega de los documentos.</t>
  </si>
  <si>
    <t>Fiscalizar las Operaciones Institucionales.</t>
  </si>
  <si>
    <t>Arqueo de Cajas Chicas y Fondos Operacionales.</t>
  </si>
  <si>
    <t>No. de Arqueo de Cajas Chicas y Fondos Operacionales.</t>
  </si>
  <si>
    <t>1 - Escoger la fecha para la realización del arqueo.
2 - Realizar el arqueo.</t>
  </si>
  <si>
    <t>Auditoría a realizar.</t>
  </si>
  <si>
    <t>No. de Auditorías Realizadas.</t>
  </si>
  <si>
    <t>1 - Programar fecha para la auditoría.
2 - Planificar auditoría.
3 - Ejecutar la auditoría.</t>
  </si>
  <si>
    <t>Análisis Diarios de Ventas en Agromercados.</t>
  </si>
  <si>
    <t>No. de Diarios de Ventas Analizados.</t>
  </si>
  <si>
    <t>1 - Programar fecha para el análisis de ventas de los agromercados.
2 - Planificación del análisis de ventas en agromercados.
3 - Realización del análisis.</t>
  </si>
  <si>
    <t>Cheques Revisados.</t>
  </si>
  <si>
    <t>No. de Cheques.</t>
  </si>
  <si>
    <t>1 - Recepción de cheques a revisar.
2 - Revisión de cheques.
3 - Entrega de cheques.</t>
  </si>
  <si>
    <t>Fiscalización y Val. Operaciones Op/Financiera en Mercados de Productores y Bodegas Móviles.</t>
  </si>
  <si>
    <t>No. de Operaciones Fiscalizadas.</t>
  </si>
  <si>
    <t>1 - Programar fecha para la fiscalización y validación de operaciones financieras en Mercados de Productores y Bodegas Móviles.
2 - Planificación de las operaciones. 
3 - Ejecución de las operaciones.</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</si>
  <si>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</si>
  <si>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</si>
  <si>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</si>
  <si>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</si>
  <si>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</si>
  <si>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</si>
  <si>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Informe de Ingresos Mensuales de la Institución.</t>
  </si>
  <si>
    <t>No. de Informes de Ingresos.</t>
  </si>
  <si>
    <t>1 - Recolectar información sobre los ingresos mensuales.
2 - Realizar informe.</t>
  </si>
  <si>
    <t>Informe de Pagos Electrónicos a Empleados.</t>
  </si>
  <si>
    <t>No. de Informes de Pagos Electrónicos.</t>
  </si>
  <si>
    <t>1 - Recolectar información sobre los pagos electrónicos a empleados. 
2 - Realizar informe.</t>
  </si>
  <si>
    <t>Fiscalización de Transferencias  Electrónicas (varias).</t>
  </si>
  <si>
    <t>No. de Pagos por Transferencia.</t>
  </si>
  <si>
    <t>1 - Recolectar información sobre las transferencias.
2 - Realizar informe.</t>
  </si>
  <si>
    <t>Revisión de Expedientes para Fines de Pagos.</t>
  </si>
  <si>
    <t>No. de expedientes revisados.</t>
  </si>
  <si>
    <t>1 - Recepción de expedientes para fines de pago.
2 - Revisión de los expedientes.
3 - Entrega de los expedientes revisados.</t>
  </si>
  <si>
    <t>Revisión de Nómina a Empleados Fijos.</t>
  </si>
  <si>
    <t>No. de Expedientes de Nómina Revisados.</t>
  </si>
  <si>
    <t>1 - Recepción de la nómina de empleados fijos.
2 - Revisión de  la nómina de empleados fijos. 
3 - Entrega de la nómina revisada.</t>
  </si>
  <si>
    <t>Verificación de Activos Fijos (varios movimientos).</t>
  </si>
  <si>
    <t>No. de Movimientos de Activos Fijos Fiscalizados.</t>
  </si>
  <si>
    <t>1 - Programar fecha para la verificación de los movimientos de Activos Fijos.
2 - Realizar movimientos.</t>
  </si>
  <si>
    <t>Verificación y Validación de Inventario de Activos Fijos.</t>
  </si>
  <si>
    <t>No. de Verificaciones de Inventario de Activos Fijos.</t>
  </si>
  <si>
    <t>1 - Programar fecha para la validación de los inventarios de Activos Fijos.
2 - Planificación del inventario de Activos Fijos.
3 - Ejecución del inventario.</t>
  </si>
  <si>
    <t>Departamento de Normas, Sistemas, Supervisión y Seguimiento.</t>
  </si>
  <si>
    <t>-Todas las áreas.</t>
  </si>
  <si>
    <t>1,2 - Solicitud aprobada.
3 - Informe de auditoría ejecutada.</t>
  </si>
  <si>
    <t>Sección de Revisión Interna.</t>
  </si>
  <si>
    <t>1 - Registro en el libro de entrada.
2,3 - Informe de revisión.
4 - Registro en el libro de salida.</t>
  </si>
  <si>
    <t>División de Fiscalización.</t>
  </si>
  <si>
    <t>1 - Programación o cronograma de trabajo.
2 - Informe de arqueo.</t>
  </si>
  <si>
    <t>1,2 - Programación o cronograma de trabajo.
3 - Informe de auditoría.</t>
  </si>
  <si>
    <t>1,2 - Programación o cronograma de trabajo.
3 - Informe de análisis.</t>
  </si>
  <si>
    <t>1 - Libro de registro de entrada.
2 - Validación del fiscalizador.
3 - Libro de registro de salida.</t>
  </si>
  <si>
    <t>1,2 - Programación o cronograma de trabajo.
3 - Informe de fiscalización de las operaciones de Mercados de Productores y Bodegas Móviles.</t>
  </si>
  <si>
    <t>-División de Compras y Contrataciones</t>
  </si>
  <si>
    <t>1,2 - Programación o cronograma de trabajo.
3 - Informe de fiscalización de la validación de inventario de materiales y suministro.</t>
  </si>
  <si>
    <t>-Dirección de Abastecimiento, Distribución y Logística.</t>
  </si>
  <si>
    <t>1,2 - Programación de trabajo.
3 - Informe de fiscalización de la validación del inventario de producto.</t>
  </si>
  <si>
    <t>1,2 - Informe de ingreso mensual.</t>
  </si>
  <si>
    <t>1,2 - Informe de pagos electrónicos a empleados.</t>
  </si>
  <si>
    <t>1,2 - Reporte de transferencias electrónicas.</t>
  </si>
  <si>
    <t>-Sección de Revisión  Interna.</t>
  </si>
  <si>
    <t>-Sección de Activos Fijos.</t>
  </si>
  <si>
    <t>1 - Programación o cronograma de trabajo.
2 - Formato de verificación de Activos Fijos.</t>
  </si>
  <si>
    <t>1 - Programación o cronograma de trabajo.
2 - Formato de verificación y validación de inventario de Activos Fijos.</t>
  </si>
  <si>
    <t>Plan Estratégico Institucional (PEI) 2021-2024.</t>
  </si>
  <si>
    <t>Documento del PEI publicado.</t>
  </si>
  <si>
    <t xml:space="preserve">1 - Convocatoria de una jornada de trabajo con las áreas institucionales para realizar un análisis FODA institucional.
2 - Hacer una revisión del Credo Organizacional.
3 - Formulación de los ejes y objetivos estratégicos institucionales.
4 - Llenado de la matriz del MEPyD.
5 - Consolidación de la matriz del PEI con todas las áreas.
6 - Culminación y socialización del PEI con todas las áreas.
</t>
  </si>
  <si>
    <t>Plan de Compras y Proyecto de Presupuesto del año 2022.</t>
  </si>
  <si>
    <t>No. de documentos publicados.</t>
  </si>
  <si>
    <t>1 - Solicitar requerimientos de insumos a las áreas.
2 - Formular Plan de Compras y Presupuesto preliminar.
3 - Enviar el Presupuesto a DIGEPRES, Ministerio de Agricultura y Ministerio de Hacienda para fines de aprobación.
4 - Ajustes y Reformulación del Proyecto de Presupuesto Aprobado.</t>
  </si>
  <si>
    <t>Alcanzar las metas establecidas en base a las programadas; proveer seguimiento oportuno a las variables pertinentes y realizar los ajustes necesarios.</t>
  </si>
  <si>
    <t>Dashboard de estadísticas.</t>
  </si>
  <si>
    <t>No. de Dashboards realizados.</t>
  </si>
  <si>
    <t>1 - Solicitar y recibir las Estadísticas Mensuales.
2 - Digitar formularios de recepciones de productos.
3 - Elaboración de Dashboard con variables pertinentes.</t>
  </si>
  <si>
    <t>Informes de seguimiento: Ejecuciones trimestrales del POA y Memoria Institucional 2021.</t>
  </si>
  <si>
    <t>No. de informes publicados.</t>
  </si>
  <si>
    <t>1 - Enviar matriz de ejecución a las áreas para completar.
2 - Recepción de las matrices.
3 - Elaboración de los informes trimestrales y rendición de cuentas en la memoria.
4 - Revisión y Publicación de los documentos elaborados.</t>
  </si>
  <si>
    <t>Incorporar la política medioambiental en las actividades y decisiones del INESPRE.</t>
  </si>
  <si>
    <t>Plan de Medioambiente.</t>
  </si>
  <si>
    <t>Documento del Plan elaborado.</t>
  </si>
  <si>
    <t>1 - Integrar a las áreas competentes.
2 - Formulación del Plan de Medioambiente.</t>
  </si>
  <si>
    <t>Mitigar los riesgos existentes y robustecer la estructura física y tecnológica de la Institución para fortalecer la seguridad de la información.</t>
  </si>
  <si>
    <t>Plan de Seguridad Física y Tecnológica.</t>
  </si>
  <si>
    <t>1 - Solicitar el levantamiento de necesidades de refuerzo de seguridad al Departamento de Ingeniería y Arquitectura.
2 - Solicitar un reporte analizando los riesgos de la información y equipos tecnológicos.
3 - Formulación del Plan de Seguridad Física y Tecnológica.</t>
  </si>
  <si>
    <t>Revolucionar el proceso de comunicación interna entre los servidores públicos de la Institución y fortalecer las vías de comunicación con los ciudadanos-clientes.</t>
  </si>
  <si>
    <t>Plan de Comunicación Interna y Externa.</t>
  </si>
  <si>
    <t>1 - Solicitar al Departamento de Comunicaciones un análisis del entorno de la comunicación interna y externa.
2 - Diseñar diferentes propuestas.
3 - Elaborar el Plan de Comunicación Interna y Externa.</t>
  </si>
  <si>
    <t>- Dirección Ejecutiva.
- Departamento de Planificación y Desarrollo.</t>
  </si>
  <si>
    <t>1 - Registro de Participantes del análisis FODA.
2 - Credo Organizacional aprobado por la MAE.
3 - Ejes y objetivos estratégicos aprobados por la MAE. 
4 - Planilla de la Matriz del PEI aprobada por el MEPyD.
5 - Registro de firmas de las reuniones.
6 - El documento del PEI 2021-2024 aprobado por la MAE,  publicado en el Portal de Transparencia y enviado al MEPyD.</t>
  </si>
  <si>
    <t>División de Formulación, Monitoreo y Evaluación de PPP.</t>
  </si>
  <si>
    <t>1 - Copia de solicitudes recibidas y firmadas por las áreas.  
2 - Oficio de convocatoria a reuniones con las áreas sustantivas y el área de compras, formulario de asistencia de los participantes a reuniones. 
3 - Plan de Compras y Proyecto de Presupuesto preliminar, Oficio de remisión del Plan de Compras y Proyecto de Presupuesto preliminar a DGCP y DIGEPRES.
4 - Documentos terminados y aprobados por el Consejo de Directores.</t>
  </si>
  <si>
    <t>1 - Estadísticas mensuales de las áreas institucionales recibidas.
2 - Formularios digitados para fines de análisis.
3 - Dashboards realizados.</t>
  </si>
  <si>
    <t>1 - Correo enviado con la planilla del informe de ejecución a las diferentes áreas.
2 - Informes de ejecución recibidos de las diferentes áreas.
3,4 - Los informes trimestrales y la Memoria Institucional 2021 publicados en el Portal de Transparencia.</t>
  </si>
  <si>
    <t>- Dirección Administrativa Financiera.
- Dirección de Gestión de Programas.
- Dirección Agropecuaria, Normas y Tecnología Alimentaria.</t>
  </si>
  <si>
    <t>1 - Convocatoria a los involucrados y lista de asistencia.
2 - Plan elaborado y publicado en la plataforma NOBACI.</t>
  </si>
  <si>
    <t xml:space="preserve"> - Departamento de Tecnologías de la Información y Comunicación.
- Departamento de Ingeniería y Arquitectura.</t>
  </si>
  <si>
    <t>1,2 - Solicitud enviada y firmada por el área.
3 - Plan elaborado y publicado en la plataforma NOBACI.</t>
  </si>
  <si>
    <t xml:space="preserve"> - Departamento de Comunicaciones.</t>
  </si>
  <si>
    <t>Transversalizar el enfoque de género en las acciones y decisiones del INESPRE.</t>
  </si>
  <si>
    <t>Coordinación de capacitación y sensibilización a los Servidores Públicos del INESPRE en los temas de igualdad de género.</t>
  </si>
  <si>
    <t>Número de capacitaciones coordinadas.</t>
  </si>
  <si>
    <t>1 - Realizar un cronograma de trabajo.           
2 - Gestionar  las capacitaciones.                            
3 - Difusión de la sensibilización.</t>
  </si>
  <si>
    <t>Proyecto de Sala de Lactancia Materna.</t>
  </si>
  <si>
    <t>Sala de lactancia materna instalada, inaugurada y en funcionamiento.</t>
  </si>
  <si>
    <t>1 - Realizar un cronograma de trabajo. 
2 - Ubicar espacio físico.    
3 - Adecuar el espacio físico.
4 - Equipar Sala.
5 - Apertura Sala de Lactancia Materna.</t>
  </si>
  <si>
    <t>Conmemoración fechas relevantes.</t>
  </si>
  <si>
    <t>Número de conmemoraciones.</t>
  </si>
  <si>
    <t>1 - Enviar cápsula educativa masiva.               
2 - Distribución de volantes y material educativo.
3 - Boletín Digital.</t>
  </si>
  <si>
    <t>Unidad de Igualdad de Género.</t>
  </si>
  <si>
    <t>- Departamento de Evaluación de Desempeño y Capacitación.
- Departamento de Comunicaciones.
- Sección de Protocolo.</t>
  </si>
  <si>
    <t>1 - Documento del cronograma de trabajo.
2 - Documentaciones pertinentes.                     
3 - Fotos, videos, notas de prensa, correos masivos al personal, registro de participantes.</t>
  </si>
  <si>
    <t>- Dirección Ejecutiva.
- Departamento de Planificación y Desarrollo.
- Dirección Administrativa Financiera.</t>
  </si>
  <si>
    <t>1 - Documento del cronograma de trabajo.
2 - Plano de Arquitectura.
3 - Documentaciones pertinentes. 
4 - Documentos de requisiciones.   
5 - Fotos, videos, notas de prensa, registro de participantes de la inauguración de la sala de lactancia.</t>
  </si>
  <si>
    <t>- Departamento de Planificación y Desarrollo.
- Departamento de Comunicaciones.
- Sección de Protocolo.</t>
  </si>
  <si>
    <t>1 - Correos enviados.
2 - Fotos, videos, notas de prensa, registro de participantes, publicaciones en redes sociales.
3 - Documento de publicación Boletín Digital.</t>
  </si>
  <si>
    <t>Apoyar en la articulación del funcionamiento, desarrollo y efectividad en la organización.</t>
  </si>
  <si>
    <t>Implementación de las Normas Básicas de Control Interno (NOBACI).</t>
  </si>
  <si>
    <t xml:space="preserve"> No. de informes de implementación de las NOBACI.</t>
  </si>
  <si>
    <t>1 - Elaboración de los procedimientos.
2 - Socialización de procedimientos.
3 - Carga de los procedimientos en la plataforma NOBACI.</t>
  </si>
  <si>
    <t>Estructura organizativa de la Institución actualizada.</t>
  </si>
  <si>
    <t>Documento publicado.</t>
  </si>
  <si>
    <t>1 - Levantamiento de información con las áreas sobre las prioridades de cambios relacionados con la estructura.
2 - Sometimiento de los cambios al MAP.</t>
  </si>
  <si>
    <r>
      <rPr>
        <sz val="12"/>
        <rFont val="Calibri"/>
        <family val="2"/>
      </rPr>
      <t>Implementar el Sistema</t>
    </r>
    <r>
      <rPr>
        <sz val="12"/>
        <color rgb="FF000000"/>
        <rFont val="Calibri"/>
        <family val="2"/>
      </rPr>
      <t xml:space="preserve"> de Gestión de Calidad en los diferentes procesos del INESPRE, asegurando su sostenibilidad para la mejora continua, que permita la satisfacción del usuario.</t>
    </r>
  </si>
  <si>
    <t>Informe de Encuesta Institucional de satisfacción ciudadana.</t>
  </si>
  <si>
    <t>Informe de encuesta institucional de satisfacción ciudadana publicado.</t>
  </si>
  <si>
    <t>1 - Determinar la muestra.
2 - Calendarizar el período a evaluar.
3 - Aplicar las encuestas.
4 - Tabulación de los datos.
5 - Realizar el informe de resultados.
6 - Determinación del plan de acción.</t>
  </si>
  <si>
    <t>Informe de evaluación de la Carta Compromiso al Ciudadano.</t>
  </si>
  <si>
    <t>Informe de evaluación enviado al MAP.</t>
  </si>
  <si>
    <t>1 - Preparar documentación para auditoría del segundo año.
2 - Plan de acción post-auditoría.
3 - Dar seguimiento a resultados de servicios comprometidos y generar acciones necesarias.
4 - Comunicar los resultados.</t>
  </si>
  <si>
    <t>Seguimiento al Plan de Mejora CAF y actualización autodiagnóstico CAF.</t>
  </si>
  <si>
    <t>No. de documentos elaborados.</t>
  </si>
  <si>
    <t>1 - Remitir acciones a las áreas correspondientes identificadas en el Plan de Mejora.
2 - Remisión del informe al MAP.
3 - Actualización autodiagnóstico CAF 2021-2022.</t>
  </si>
  <si>
    <t>Nivel de Implementación de la VAR (NOBACI).</t>
  </si>
  <si>
    <t>Implementación de la Valoración, Administración y Mitigación de Riesgos.</t>
  </si>
  <si>
    <t>No. de requerimientos realizados.</t>
  </si>
  <si>
    <t>1 - Levantamiento de información.
2 - Elaboración de Metodología y las matrices de Riesgo.
3 - Capacitación de los Directivos, encargados de área y Comité de Riesgo.</t>
  </si>
  <si>
    <t>División de Desarrollo Institucional y Calidad en la Gestión.</t>
  </si>
  <si>
    <t>1 - Procedimientos aprobados por los Encargados de áreas y la MAE.
2 - Registro de participantes firmado.
3 - Matriz de Resumen Seguimiento cuatrimestral firmada por la MAE y cargada en la plataforma.</t>
  </si>
  <si>
    <t xml:space="preserve"> - Departamento de Planificación y Desarrollo.
 - Dirección de Recursos Humanos.
 - Dirección Ejecutiva.
 - Otras áreas.</t>
  </si>
  <si>
    <t>1 - Actas de reunión, formularios de levantamiento de información.
2 - Solicitud de aprobación.</t>
  </si>
  <si>
    <t>- Departamento de Planificación y Desarrollo.
- Dirección de Recursos Humanos.
- Dirección Ejecutiva.
- Departamento de Tecnologías de la Información y Comunicación.
- Departamento de Comunicaciones.</t>
  </si>
  <si>
    <r>
      <rPr>
        <sz val="12"/>
        <rFont val="Calibri"/>
        <family val="2"/>
      </rPr>
      <t>1 - Data suministrada por el área responsable.
2 - Metodología de trabajo.
3 - Encuestas realizadas.
4 - Matriz de resultados.
5 - Informe de resultados de las 
encuestas completadas.
6 - Plan de acción elaborado en base a los resultados de la encuesta.</t>
    </r>
  </si>
  <si>
    <t>- Departamento de Planificación y Desarrollo.
- Dirección de Gestión de Programas.
- Oficina de Libre Acceso a la Información.
- Dirección Ejecutiva.
- Departamento de Comunicaciones.</t>
  </si>
  <si>
    <t>1 - Cronograma de trabajo.
2 - Informe de Resultados.
3 - Seguimiento a las mejoras implementadas.
4 - Socialización de los resultados de la auditoría.</t>
  </si>
  <si>
    <t>1 - Matriz de acciones implementadas.
2 - Comunicación de recibo.
3 - Autodiagnóstico actualizado y socializado.</t>
  </si>
  <si>
    <t>-Dirección Ejecutiva.
- Todas las áreas institucionales.</t>
  </si>
  <si>
    <t>1- Metodología aprobada.
2- Matrices completadas.
3 - Registro de participantes firmado.</t>
  </si>
  <si>
    <t>Potenciar el desarrollo del sector agropecuario.</t>
  </si>
  <si>
    <t>Impartición de talleres y mesas técnicas de trabajo.</t>
  </si>
  <si>
    <t>No. de talleres y mesas técnicas programadas.</t>
  </si>
  <si>
    <t>1 - Identificar proyectos existentes de cooperación.
2 - Gestionar expertos que expondrán el tema.
3 - Buscar el lugar para impartir el evento.
4 - Identificar las personas que asistirán al taller o mesa técnica.</t>
  </si>
  <si>
    <t>Informe de zonas con mejor desempeño productivo para la focalización de la inversión pública y privada.</t>
  </si>
  <si>
    <t>Informe realizado.</t>
  </si>
  <si>
    <t>1 - Identificar las zonas donde se hará el levantamiento.
2 - Visitar las zonas con el fin de verificar el desempeño productivo real.
3 - Elaboración del Informe.</t>
  </si>
  <si>
    <t>División de Cooperación Internacional.</t>
  </si>
  <si>
    <t>- Dirección de Recursos Humanos.
- Dirección Agropecuaria, Normas y Tecnología Alimentaria.
- Sección de Protocolo.</t>
  </si>
  <si>
    <t>1 - Matriz de Proyectos aprobado por la MAE.
2 - Informe de visitas con fotos, correos y/o llamadas a los diferentes expertos.
3 - Informe de solicitud del espacio para impartir evento.
4 - Listado de personas que asistirán al evento.</t>
  </si>
  <si>
    <t>1 - Informe de mapeo de las posibles zonas para el levantamiento.
2 - Fotos de las visitas realizadas a las zonas.
3 - Informe final aprobado por la MAE.</t>
  </si>
  <si>
    <t>Proveer a la Institución de una solución integral moderna para la gestión de sus operaciones con eficiencia y transparencia.</t>
  </si>
  <si>
    <t>INTRANET(Portal del empleado).</t>
  </si>
  <si>
    <t>No. de Módulos.</t>
  </si>
  <si>
    <t>1 - Digitalización de los puntos de ventas de los canales de comercialización.
2 - Actualización y estandarización de la página web.
3 - Instalación de pantallas e interconexión con el servidor.
4 - Instalación de software.
5 - Asignación de usuarios.</t>
  </si>
  <si>
    <t>No. de Aplicaciones.</t>
  </si>
  <si>
    <t>Mural Digital.</t>
  </si>
  <si>
    <t>Aplicaciones/Servicios Web.</t>
  </si>
  <si>
    <t>Proveer a la Institución de una solución integral (ERP) moderna para la gestión de sus operaciones con eficiencia y transparencia.</t>
  </si>
  <si>
    <t>Implementación de los módulos que componen la solución con la correspondiente migración de datos e integración entre los mismos.</t>
  </si>
  <si>
    <t>No. de Módulos implementados acorde al calendario de trabajo establecido.</t>
  </si>
  <si>
    <t>1 - Levantamiento del requerimiento.
2 - Selección software.
3 - Levantamiento de usuarios.
4 -Pruebas de módulos y permisos de usuarios.
5 - Asignación a usuarios finales.
6 - Implementación de módulos.</t>
  </si>
  <si>
    <t>Garantizar que la Institución opere con todas las licencias de software requeridas y aprobadas por la OPTIC.</t>
  </si>
  <si>
    <t>Normas TIC.</t>
  </si>
  <si>
    <t>Catálogo de Servicios TIC</t>
  </si>
  <si>
    <t>1 - Levantamiento Base: 
  * Inventario de Hardware y Software (a nivel del Cuarto de Servidores).
  * Carga de los datos a la solución de ITSM (Itop).
2 - Documentación de las Políticas y Procedimientos Internos del Departamento.</t>
  </si>
  <si>
    <t>.
 Adquirir licencias para el sistema operativo de las  computadoras y servidores.</t>
  </si>
  <si>
    <t>1- Cotizar licencias para computadoras y servidores.
2- Enviar propuestas a compras y esperar el proceso de licitación.
3- Instalar licencias de Windows 10 y Windows Server 2019 en servidores y computadoras.</t>
  </si>
  <si>
    <t xml:space="preserve"> Creación, configuración y mantenimiento de cuentas de correos institucionales.</t>
  </si>
  <si>
    <t>1 - Realizar un levantamiento de los empleados de la institución que deben tener creadas sus cuentas de correo y no lo utilizan.
2 - Crear las cuentas de correo. 
3 - Configurar las cuentas de correo.
4- Instalación de aplicación de correos Thunderbird.
5 - Eliminar las cuentas de correo de empleados que no estén en la institución.</t>
  </si>
  <si>
    <t>Estandarización de aplicaciones y control de licencias de software.</t>
  </si>
  <si>
    <t>1 - Crear el pool de aplicaciones que serán permitidas y ejecutadas en la institución.
2 - Licenciar todos los software instalados y ejecutados en las computadoras de la institución.
3 - Desinstalar aplicaciones no permitidas, como por ejemplo: Microsoft Office.</t>
  </si>
  <si>
    <t>No. de Aplicaciones permitidas y en uso.</t>
  </si>
  <si>
    <t>1 - Plan de Concienciación TIC.
2 - Implementación Tareas de Seguridad en los equipos de usuarios finales y servidores.
3 - Implementación Tareas para la eliminación de aplicaciones no autorizadas.</t>
  </si>
  <si>
    <t>Asegurar la operación ininterrumpida de los sistemas dentro del tiempo laboral establecido.</t>
  </si>
  <si>
    <t>Implementación de Hardware actualizados y contemporáneos.</t>
  </si>
  <si>
    <t>Instalación de computadoras modernas para mejorar y optimizar las funciones diarias de los usuarios de la institución.</t>
  </si>
  <si>
    <t>1 - Realizar un inventario de los equipos.
2 - Auditar la cantidad de computadoras a reemplazar.
3 - Gestionar cotizaciones de los equipos a adquirir.
4 - Iniciar proceso en compras para las licitaciones de las mismas.
5 - Recibir equipos nuevos y instalarle los sistemas que corren en la institución.
6 - Realizar backup de equipos y posterior instalación de los mismos a los usuarios finales.</t>
  </si>
  <si>
    <t>Implementación de un sistema de electricidad redundante.</t>
  </si>
  <si>
    <t>Instalación de un sistema de UPS centralizado.</t>
  </si>
  <si>
    <t>1 - Realizar levantamiento del sistema eléctrico de la institución.
2 - Cotizar UPS central.
3 - Enviar propuestas a comprar para que así inicie el proceso de licitación.
4 - Instalación de UPS central.</t>
  </si>
  <si>
    <t>Implementación de Planes de Contingencia de Servicios Catálogo TIC.</t>
  </si>
  <si>
    <t>No. de Planes de Contingencia y su procedimiento de puesta en operación para las aplicaciones y/o servicios críticos de la Institución</t>
  </si>
  <si>
    <t>1- Identificación de los servicios TIC sujetos a Contingencia. 
 Entregables: Inventario de servicios TIC sujetos a contingencia. Candidatos mínimos elegibles:
  * Servidor de Dominio.
  * Información NO Estructurada (File Server): Servidor/Datos,
  * Información Estructurada (Aplicaciones): Nómina, Contabilidad, Cheques, Activos Fijos.
 Requerimientos para la implementación de la contingencia 
2-Plan de Continuidad Servicios de Aplicaciones Actuales (Aplicaciones, Servicios). 
 Entregables: Plan de Continuidad: objetivo, alcance, condiciones y Procedimiento para la puesta en operación de las contingencia de los servicios TIC.
 * Pruebas documentales de los respaldos periódicos a las aplicaciones y bases de datos.
3- Pruebas de recuperación y verificación de los planes, reporte de estimación de pérdidas, plan de remediación 
 Entregables: Calendario de pruebas de recuperación.
 * Constancia firmada por los usuarios participantes en los ejercicios de recuperación de los resultados de las pruebas realizadas.</t>
  </si>
  <si>
    <t>Mejorar la seguridad de los equipos por medio de nuestro sistema de seguridad.</t>
  </si>
  <si>
    <t>Implementación de Planes de Continuidad de Operaciones TIC.</t>
  </si>
  <si>
    <t>Calendario de Mantenimiento Servidores.</t>
  </si>
  <si>
    <t>1- Levantamiento Base:
 * El levantamiento base, parte del inventario realizado para la carga al ITSM (Itop).  A partir de este levantamiento se determina la frecuencia de inspección y/o Mantenimiento de cada servidor o servicio. 
Reportes de dependencias de recursos (insumo para el BIA y definición de procedimientos de Contingencia).
 Entregables: Calendario de Mantenimiento anual. En dos presentaciones: 
  a) Calendario por Servidores/Servicio, que enfatiza la frecuencia de insp./Mant. De Cada servidor.
  b) Calendario inspección por Mes. Orientado a las tareas que deberán ejecutarse en el mes por las áreas responsables de los mismos.</t>
  </si>
  <si>
    <t>Calendario de Respaldos Servidores/Servicios.</t>
  </si>
  <si>
    <t>1- Levantamiento Base:
 * El levantamiento base, parte del inventario realizado para la carga al ITSM (Itop). A partir de este levantamiento se determina la frecuencia de inspección y/o Mantenimiento de cada servidor o servicio. 
Reportes de dependencias de recursos (insumo para el BIA y definición de procedimientos de Contingencia) 
 Entregables: Calendario de Mantenimiento anual. En dos presentaciones: 
  a) Calendario por Servidores/Servicio, que enfatiza la frecuencia de insp./Mant. De Cada servidor.
  b) Calendario inspección por Mes. Orientado a las tareas que deberán ejecutarse en el mes por las áreas responsables de los mismos.</t>
  </si>
  <si>
    <t>Plan de Continuidad de Operaciones para servicios de TI críticos de la Institución.</t>
  </si>
  <si>
    <t>1- Levantamiento requerimientos:
 * Inventario de activos de TI, sujetos al plan de continuidad de operaciones.
 * Dimensionamiento de la solución (Procesamiento, Memoria, Almacenamiento, Networking, etc.) tomando en cuenta la demanda actual, el crecimiento a futuro y las nuevas demandas generadas por la transformación digital.
 Insumos: Inventario de Activos TIC (Equipos, Servicios, etc.)
 Entregables: Términos de referencia del proyecto (Especificaciones técnicas, objetivos y alcance del proyecto).
2- Licitación, revisión de propuestas y adjudicación del proyecto. 
 * Acorde a los procesos de licitación definidos por la Ley de Compras y Contrataciones.
3- Instalación y puesta en marcha.
 Entregables: * Constancia de recepción de los equipos y licencias
 (de los departamentos de Inventarios y Activos Fijos).
 * Plan de implementación de la solución.</t>
  </si>
  <si>
    <t>Red WIFI Institucional</t>
  </si>
  <si>
    <t>1- Levantamiento de Campo: 
 * Delimitación de las áreas de cobertura WIFI Institucional para el área definida en el alcance del proyecto.
 * Establecimiento de la cantidad de equipos requeridos y las características de los mismos de acuerdo a cada ubicación.
 Entregable: Informe de cobertura y requerimientos técnicos del proyecto.
 (Este paso sirve de insumo para el proceso de adquisición de los equipos e implementos requeridos por el proyecto).
2- Implementar cableado y montar equipos en sus respectivos puntos o ubicación. 
 Entregable: Acuse de recibo de la infraestructura requerida (Cableado) y de los Access Points debidamente instalada en las ubicaciones acordadas.
3- Configuración de las diferentes redes de servicio WIFI que se ofrecerán sobre la infraestructura instalada: 
 * Red WIFI empleados para estaciones de trabajo inalámbricas (Laptops, Tablets).
 * Red WIFI empleados Dispositivos móviles.
 * Red WIFI para suplir Internet filtrado a invitados a través del portal cautivo de la Institución.</t>
  </si>
  <si>
    <t xml:space="preserve"> No. de Uptimes mensuales de los servicios.</t>
  </si>
  <si>
    <t>1 - Reemplazo de los equipos obsoletos.</t>
  </si>
  <si>
    <t>Optimización Infraestructura TIC.</t>
  </si>
  <si>
    <t>Recursos Compartidos (Expansión FileServer)</t>
  </si>
  <si>
    <t>1- Plan de concientización sobre el uso del repositorio institucional de datos, en lugar del uso de los equipos de trabajo individuales de los usuarios.
 Insumos: Política de información y comunicación (PO-DTI-001) y Política de Control de Acceso (PO-DTI-002).
 Evidencias: Circulares, memos, correos masivos sobre dicho asunto.
2- Calendario de auditorías selectivas a áreas y departamentos, para garantizar el apego a la política establecida. 
 Opcional. Se sugiere el establecimiento de una política de incentivo y penalidad para las áreas o departamentos según se acojan a esta política.</t>
  </si>
  <si>
    <t>Optimización Redes LAN/WAN</t>
  </si>
  <si>
    <t>1- Levantamiento requerimientos.
 * Inventario de activos de TI relativo a la redes de comunicaciones.
 * Dimensionamiento de la solución (switches, routers, servicios de comunicaciones contratados, etc.).
 Insumos: Inventario de Activos TIC (Equipos, servicios, etc.).
 Entregables: Términos de referencia del proyecto (Especificaciones técnicas, objetivos y alcance del proyecto).
2- Licitación, revisión de propuestas y adjudicación del proyecto. 
 * Acorde a los procesos de licitación definidos por la ley de compras y contrataciones.
3- Instalación y puesta en marcha. 
 Entregables: * Constancia de recepción de los equipos y licencias
 (de los departamentos de Inventarios y Activos Fijos).
 * Plan de implementación de la solución.</t>
  </si>
  <si>
    <t>Implementación Microsoft Office 365.</t>
  </si>
  <si>
    <t>1- Contratación del Servicio.
2- Instalación y puesta en marcha.
 Entregables: * Constancia de Instalación y registro de los usuarios en la plataforma de Microsoft Office 365.</t>
  </si>
  <si>
    <t>Actualización Seguridad equipos usuarios finales (EndPoints).</t>
  </si>
  <si>
    <t>1 – Instalación de EndPoint 11.5.</t>
  </si>
  <si>
    <t>- Departamento de Tecnología de la Información y Comunicación.
- División de Desarrollo e Implementación de Sistemas TIC.
- División de Administración de Servicios TIC.</t>
  </si>
  <si>
    <t>- Dirección de Recursos Humanos.
- División de Compras y Contrataciones</t>
  </si>
  <si>
    <t>1,2 - Publicación en Portal Web.
3 - Mural Digital en la Institución.
4,5 - Publicación en el Portal Web y APK.</t>
  </si>
  <si>
    <t>-Departamento de Tecnologías de la Información y Comunicación
- División de Desarrollo e Implementación de Sistemas TIC.</t>
  </si>
  <si>
    <t>- Diferentes departamentos involucrados en sus respectivas aplicaciones de gestión.
- División de Compras y Contrataciones.
- División de Administración de Servicios TIC.</t>
  </si>
  <si>
    <t>1,2,3,4,5,6 - Software instalado en los departamentos correspondientes.</t>
  </si>
  <si>
    <t>- Infraestructura TIC.</t>
  </si>
  <si>
    <t>- Departamento de Tecnologías de la Información y Comunicación.
- División de Desarrollo e Implementación de Sistemas TIC.</t>
  </si>
  <si>
    <t>1 -  Documentación Física o Electrónica del Catálogo de Servicios TIC.
2 - Documento Físico o Electrónico de las políticas y procedimientos internos.</t>
  </si>
  <si>
    <t>- División de Administración de Servicios TIC.
- División de Operaciones TIC.</t>
  </si>
  <si>
    <t>- División de Compras y Contrataciones.</t>
  </si>
  <si>
    <t>1 - Cotización de las licencias.
2 - Documento de la propuesta.
3 - Imágenes de validación.</t>
  </si>
  <si>
    <t>1, 2, 3, 4, 5 - Documento físico o electrónico del levantamiento de cuentas.</t>
  </si>
  <si>
    <t>- División de Administración de Servicios TIC.
- División de Seguridad y Monitoreo TIC.</t>
  </si>
  <si>
    <t>1 - Documento de levantamiento.
2 - Documento de aplicaciones con licencias.
3 - Documento de aplicaciones.</t>
  </si>
  <si>
    <t>- División de Administración de Servicios TIC.
- División de Seguridad y Monitoreo TIC.
- Infraestructura TIC.</t>
  </si>
  <si>
    <t>1 - Inventario de servicios TIC sujetos a contingencia.
2 - Requerimientos para la implementación de la contingencia.
3 - Constancia de adquisición de requerimientos de implementación.</t>
  </si>
  <si>
    <t>- División de Administración de Servicios TIC.</t>
  </si>
  <si>
    <t xml:space="preserve"> 1,2 - Inventario de Equipos.
3,4 - Documento físico de la cotización.
5,6 - Inventario final donde se contemple la instalación de las 74 computadoras nuevas.</t>
  </si>
  <si>
    <t>- Departamento Administrativo.
- Departamento de Ingeniería y Arquitectura. 
- División de Compras y Contrataciones.</t>
  </si>
  <si>
    <t>'- División de Compras y Contrataciones.</t>
  </si>
  <si>
    <t>1 - Relación de Servicios con Planes de Contingencia de Operaciones Definidos.
2 - Plan de acción concreto para cada servicio. Procedimientos y Condiciones para la puesta en operación de las contingencias de los servicios TIC.
3 - Instalación De Equipos Físicos o en las Nubes.</t>
  </si>
  <si>
    <t>'- Departamento de Tecnologías de la Información y Comunicación Desarrollo TIC.</t>
  </si>
  <si>
    <t>1 - Calendario de Inspección y Mantenimiento de los Servidores y/o Servicios TIC para todo el año.
Estructura (Carpeta) para el registro (Bitácora) de las inspecciones realizadas a cada Servidor/Servicio así como el registro de incidentes o actualizaciones realizadas.</t>
  </si>
  <si>
    <t>'- Departamento de Tecnología de la Información y Comunicación Desarrollo TIC.</t>
  </si>
  <si>
    <t>1 - Calendario de Respaldo (Backup) a  Servidores y/o Servicios TIC para todo el año.</t>
  </si>
  <si>
    <t>1 - Relación de Servicios con Planes de Continuidad de Operaciones Definidos.
2,3 - Plan de Acción concreto para cada servicio, con la descripción detallada y autocontenida para realizar todo el proceso.</t>
  </si>
  <si>
    <t>1 - Plano de Cobertura WIFI Institucional para el área indicada en el alcance, que también indicará la cantidad y especificaciones técnicas de los Access Points a implementar.
2 - Certificación de Disponibilidad WIFI Institucional en el área de cobertura definida en el punto a.
3 - Portal cautivo para el acceso a la red WIFI de nuestra institución.</t>
  </si>
  <si>
    <t>1 - Cronograma de Servicios y Soporte Técnico.</t>
  </si>
  <si>
    <t>1,2 - Estructura de carpetas compartidas por departamentos (Documento de acceso restringido).</t>
  </si>
  <si>
    <t>1 - Nuevo Diseño LAN/WAN de las áreas bajo el alcance definido.
2 - Lista de Vlans definidas (Documento de acceso restringido).
3 - Contratos nuevos servicios de Conectividad (WAN Administrada).</t>
  </si>
  <si>
    <t>- Departamento de Tecnologías de la Información y Comunicación Desarrollo TIC.</t>
  </si>
  <si>
    <t>1,2 - Lista de usuarios con licencias de uso de Office 365 .</t>
  </si>
  <si>
    <t>1 - Instalación Física del Equipo.</t>
  </si>
  <si>
    <t xml:space="preserve">Cumplir con todas las redacciones y remisiones de contratos.                                                                                                                                                                                                                                                                                                                                                                                                                                                                                                                                                                                                                                                                                                                                                  </t>
  </si>
  <si>
    <t>Contratos Varios.</t>
  </si>
  <si>
    <t>No. de Contratos ejecutados.</t>
  </si>
  <si>
    <t>1 - Solicitud de redacción.
2 - Verificación de requisitos.
3 - Redacción y remisión.</t>
  </si>
  <si>
    <t>Asegurar el cumplimiento del proceso según la Ley.</t>
  </si>
  <si>
    <t>Demandas varias.</t>
  </si>
  <si>
    <t>No. de Demandas ejecutadas.</t>
  </si>
  <si>
    <t>1 - Notificación del expediente.
2 - Asignación a un abogado.
3 - Representación y asistencia a las audiencias.</t>
  </si>
  <si>
    <t>Cerrar acuerdos en beneficio de la Institución.</t>
  </si>
  <si>
    <t>Acuerdos interinstitucionales.</t>
  </si>
  <si>
    <t>No. de Acuerdos ejecutados.</t>
  </si>
  <si>
    <t>1 - Redacción de acuerdos.</t>
  </si>
  <si>
    <t>Licitar según la Ley para adquirir productos al mejor precio.</t>
  </si>
  <si>
    <t>Licitaciones y comparación de precios.</t>
  </si>
  <si>
    <t>No. de Licitaciones y comparación de precios ejecutadas.</t>
  </si>
  <si>
    <t>1 - Verificación de requisitos legales y seguimiento a procesos.</t>
  </si>
  <si>
    <t>Cumplir con los procesos anuales de la Institución.</t>
  </si>
  <si>
    <t>Actas reunión de Directorio.</t>
  </si>
  <si>
    <t>No. de Actas redactadas.</t>
  </si>
  <si>
    <t xml:space="preserve">1 - Verificación del cumplimiento de las normas.
2 - Redacción de documentos legales.  </t>
  </si>
  <si>
    <t>Cumplir con todos los Acuerdos Pautados siempre apegados a la Ley.</t>
  </si>
  <si>
    <t>Acuerdos de pago de prestaciones laborales.</t>
  </si>
  <si>
    <t>No. de Acuerdos de pago ejecutados.</t>
  </si>
  <si>
    <t>1 - Solicitud de redacción de acuerdo.
2 - Redacción de acuerdo.
3 - Obtención de firmas y legalización.</t>
  </si>
  <si>
    <t>Cumplir con los pagos de beneficios laborales según desvinculaciones.</t>
  </si>
  <si>
    <t>Recibo descargos por beneficios laborales.</t>
  </si>
  <si>
    <t>No. de Recibos de descargos redactados.</t>
  </si>
  <si>
    <t>1 - Copia de cheque recibido.
2 - Redacción y se anexa al expediente correspondiente.</t>
  </si>
  <si>
    <t>Unidad de Contratos.</t>
  </si>
  <si>
    <t>- Dirección de Recursos Humanos.
- Departamento de Comunicaciones.</t>
  </si>
  <si>
    <t>1 - Solicitud por escrito.
2 - Expediente remitido.
3 - Contrato redactado.</t>
  </si>
  <si>
    <t>Unidad de Litigios.</t>
  </si>
  <si>
    <t>Departamento Jurídico.</t>
  </si>
  <si>
    <t>1 - Expediente notificado por Alguacil.
2 - Documento de apoderamiento al abogado.
3 - Actas de audiencias y documentos depositados en los tribunales.</t>
  </si>
  <si>
    <t>1 - Acuerdos redactados.</t>
  </si>
  <si>
    <t>División de Compras y Contrataciones.</t>
  </si>
  <si>
    <t>Unidad Legal de Compras.</t>
  </si>
  <si>
    <t>1 - Documentos redactados para los procesos cargados en el portal institucional.</t>
  </si>
  <si>
    <t xml:space="preserve">1 - Documentos en físico.
2 - Documentos redactados. </t>
  </si>
  <si>
    <t>1 - Demandas laborales, sentencias definitivas, cartas de desvinculación o contratos incumplidos.
2 - Acuerdos redactados.
3 - Acuerdos firmados y legalizados por notario.</t>
  </si>
  <si>
    <t>Departamento Financiero.</t>
  </si>
  <si>
    <t xml:space="preserve">1 - Copia del cheque.
2 - Recibo de descargo redactado.                            </t>
  </si>
  <si>
    <t>Agilizar los procesos de consultas de expedientes del departamento, ahorrando el tiempo que actualmente se invierte en trasladarse al archivo e identificar el expediente específico que se busca.</t>
  </si>
  <si>
    <t>Digitalización de Expedientes Financieros.</t>
  </si>
  <si>
    <t>No. de expedientes digitalizados.</t>
  </si>
  <si>
    <t>1 - Solicitud de dos nuevos recursos para el área financiera.
2 - Evaluación de prospectos.
3 - Contratación.
4 - Solicitud de equipos scanner.</t>
  </si>
  <si>
    <t>Adquirir los productos, insumos  planificados.</t>
  </si>
  <si>
    <t>Informes de ejecución del Plan de Compras 2021.</t>
  </si>
  <si>
    <t>No. de informes ejecutados.</t>
  </si>
  <si>
    <t>1 - Solicitar requerimientos de insumos a las áreas.
2 - Ajuste del Plan de Compras al presupuesto aprobado.
3 - Consolidación de requerimientos.
4 - Ejecución del proceso de compras.
5 - Actualizar y compartir Informe de Ejecución del Plan de Compras.</t>
  </si>
  <si>
    <t>Eficientizar los procesos de gestión de la información financiera.</t>
  </si>
  <si>
    <t>Solicitud de creación de Sistema generador de reportes.</t>
  </si>
  <si>
    <t>Sistema generador de reportes creado.</t>
  </si>
  <si>
    <t>1 - Seguimiento a la implementación de software de gestión.
2 - Realizar mesas de trabajo donde se estructure las necesidades y procesos del Departamento Financiero.
3 - Solicitar capacitación para el personal.</t>
  </si>
  <si>
    <t>Mejorar el espacio de trabajo para una mejor interacción de las divisiones del Departamento Financiero.</t>
  </si>
  <si>
    <t>Solicitud de Remodelación de las oficinas de la Dirección.</t>
  </si>
  <si>
    <t>Solicitud de la remodelación de las oficinas aprobada y ejecutada.</t>
  </si>
  <si>
    <t>1 - Levantamiento del espacio de trabajo del Departamento Financiero.
2 - Elaboración y aprobación de planos para las remodelaciones de lugar.
3 - Ejecución de remodelación.</t>
  </si>
  <si>
    <t>Mejorar el espacio de almacenamiento de expedientes financieros de la Institución.</t>
  </si>
  <si>
    <t>Solicitud de mudanza de archivo de expedientes financieros.</t>
  </si>
  <si>
    <t>Solicitud de mudanza aprobada y ejecutada.</t>
  </si>
  <si>
    <t>1 - Alquiler de espacio físico.
2 - Adquisición de anaqueles.
3 - Traslado de expedientes.</t>
  </si>
  <si>
    <t>Facilitar a cada colaborador con las herramientas necesarias para realizar su trabajo de maneja efectiva.</t>
  </si>
  <si>
    <t>Solicitud de Compra de computadoras para equipo de Contabilidad.</t>
  </si>
  <si>
    <t>No. de computadoras solicitadas y compradas.</t>
  </si>
  <si>
    <t>1 - Enviar requerimiento de equipos para División de Contabilidad.
2 - Ejecución del debido proceso de compras.
3 - Instalación de equipos.</t>
  </si>
  <si>
    <t>Honrar los compromisos financieros asumidos por la Institución.</t>
  </si>
  <si>
    <t>Recepción  de ingresos producto de las actividades de la Institución.</t>
  </si>
  <si>
    <t>No. de reportes mensuales de ingresos internos.</t>
  </si>
  <si>
    <t>1 - Recepción en caja de ingresos producto de las actividades de la Institución.
2 - Dar entrada al efectivo.
3 - Elaborar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</si>
  <si>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</si>
  <si>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</si>
  <si>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</si>
  <si>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Ejecución de los pagos a suplidores.</t>
  </si>
  <si>
    <t>No. de relaciones de pagos a suplidores.</t>
  </si>
  <si>
    <t xml:space="preserve">1 - Recepción de facturas de suplidores.
2 - Ejecución de los pagos. </t>
  </si>
  <si>
    <t>Aportar claridad de las operaciones de la Institución al Gobierno Central y a la población.</t>
  </si>
  <si>
    <t>Estados Financieros Mensuales.</t>
  </si>
  <si>
    <t>No. Publicación de Estados Financieros.</t>
  </si>
  <si>
    <t>1 - Registrar transacciones. 
2 - Contabilizar transacciones en el libro mayor. 
3 - Preparar las entradas de ajuste al final del período. 
4 - Preparar un balance de comprobación ajustado. 
5 - Realizar inventario de activos fijos.</t>
  </si>
  <si>
    <t>Proveer seguimiento oportuno Al Presupuesto anual aprobado para la Institución.</t>
  </si>
  <si>
    <t>Informes Mensuales de Ejecución Presupuestaria 2021.</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</si>
  <si>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</si>
  <si>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requerientes.</t>
  </si>
  <si>
    <t>Departamento Financiero
Departamento Administrativo</t>
  </si>
  <si>
    <t>-Dirección de Recursos Humanos.
-División de Compras y Contrataciones.</t>
  </si>
  <si>
    <t>1 - Carta de solicitud de personal.
2 - Cotizaciones.
3 - Contrato.
4 - Carta de solicitud equipos scanner.</t>
  </si>
  <si>
    <t>División de Compras y Contrataciones</t>
  </si>
  <si>
    <t>1 - Formularios de requerimientos de insumos a las áreas.
2 - Plan de Compras al presupuesto aprobado.
3 - Expedientes de requerimientos por área.
4 - Plataforma Dirección General de Compras y Contrataciones.
5 - Informe de Ejecución del Plan de Compras.</t>
  </si>
  <si>
    <t>Departamento Financiero</t>
  </si>
  <si>
    <t>-Departamento de Tecnologías de la Información y Comunicación.
-Dirección de Recursos Humanos.</t>
  </si>
  <si>
    <t>1 - Hoja de desarrollo del software de gestión.
2 - Hoja de asistencia mesas de trabajo donde se estructuren las necesidades y procesos del Departamento Financiero.
3 - Carta de solicitud capacitación para el personal.</t>
  </si>
  <si>
    <t>Departamento Administrativo</t>
  </si>
  <si>
    <t>-Departamento de Ingeniería y Arquitectura.</t>
  </si>
  <si>
    <t>1 - Planos para las remodelaciones de lugar.
2 - Planos aprobados para las remodelaciones de lugar.
3 - Espacio terminado.</t>
  </si>
  <si>
    <t>-Departamento Administrativo.
-División de Compras y Contrataciones.
-Servicio externo de mudanza.</t>
  </si>
  <si>
    <t>1 - Contrato de alquiler de espacio físico.
2 - Factura de compras de anaqueles.
3 - Control de traslado de expedientes.</t>
  </si>
  <si>
    <t>-Departamento de Tecnologías de la Información y Comunicación
-División de Compras y Contrataciones</t>
  </si>
  <si>
    <t>1 - Carta de solicitud de compras de equipos para División de Contabilidad.
2 - Expediente de este proceso en específico de compras.
3 - Equipos instalados.</t>
  </si>
  <si>
    <t>-División de Tesorería.</t>
  </si>
  <si>
    <t>1 - Conduce de ingresos producto de las actividades de la Institución.
2 - Reporte firmado del conteo del efectivo.
3 - Documento reporte de ingresos.</t>
  </si>
  <si>
    <t>-Departamento de Registro, Control y Nómina.</t>
  </si>
  <si>
    <t xml:space="preserve">1 - Archivo Excel de las instrucciones de pago de nómina de parte del Departamento de Registro, Control y Nómina.
2 - Reporte de transferencias electrónicas. </t>
  </si>
  <si>
    <t>-Departamento de Normas, Sistemas, Supervisión y Seguimiento.</t>
  </si>
  <si>
    <t xml:space="preserve">1 - Facturas de suplidores.
2 - Cheques. </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</si>
  <si>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</si>
  <si>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</si>
  <si>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</si>
  <si>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</si>
  <si>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Cumplir con los requisitos y recomendaciones de la Ley 41-08 de Administración Pública.</t>
  </si>
  <si>
    <t>1 - Detección de necesidades de capacitación por áreas.
2 - Realizar Plan de Capacitación.
3 -Remitir plan al INAP.</t>
  </si>
  <si>
    <t>1 - Levantamiento de vacaciones del personal por área.
2 - Informe calendario de vacaciones por área.
3 - Remisión informe a las áreas.</t>
  </si>
  <si>
    <t>1 - Identificar las novedades para nómina.
2 - Aplicar las novedades.
3 - Generar documento de nómina.
4 - Autorizar con firmas.
5 - Enviar al Departamento Financiero.</t>
  </si>
  <si>
    <t>Actualización de la rotaciones y absentismo del personal.</t>
  </si>
  <si>
    <t>No. de Informes de absentismo y rotación de personal.</t>
  </si>
  <si>
    <t>1 - Generar el informe del reloj de ponche.</t>
  </si>
  <si>
    <t>1 - Detección de necesidades de personal.
2 - Completar plantilla de Planificación de RRHH.
3 - Enviar al MAP la plantilla.
4 - Realización del concurso.
5 - Nombramiento del personal.</t>
  </si>
  <si>
    <t>Desarrollar un ambiente confortable y organizado para poder trabajar de manera óptima.</t>
  </si>
  <si>
    <t>1 - Revisión del Manual de Cargos.
2 - Aplicación de los cambios.
3 - Enviar al MAP para su revisión y aprobación.
4 - Socializar el Manual de Cargos.</t>
  </si>
  <si>
    <t>1 - Completar las plantillas de Planificación de Recursos Humanos.</t>
  </si>
  <si>
    <t>Fomentar la colaboración y el involucramiento del personal para contar con un entorno agradable y seguro con un liderazgo efectivo.</t>
  </si>
  <si>
    <t>Actualización del Comité de la Salud y Seguridad en el Trabajo (SISTAP).</t>
  </si>
  <si>
    <t>Actualización de la Asociación de Servidores Públicos (ASP).</t>
  </si>
  <si>
    <t>1 - Solicitud al MAP.
2 - Determinación de la muestra.
3 - Período de aplicación de la encuesta.
4 - Informe de resultados.
5 - Socialización.
6 - Plan de acción.
7 - Informe de resultados del Plan de Acción.</t>
  </si>
  <si>
    <t>1 - Carta de desvinculación del personal.
2 - Entrega a las personas correspondientes.
3 - Cálculo de prestaciones.
4 - Solicitud de pago a Dirección Administrativa Financiera.</t>
  </si>
  <si>
    <t>1- Cantidad de acuerdos de desempeño firmados. Correos. Informes. Indicador SISMAP.</t>
  </si>
  <si>
    <t>1 - Formulario Detección de Necesidades de capacitación.
2 - Plan de Capacitación formulado.
3 - Comunicación.</t>
  </si>
  <si>
    <t>1 - Correos.
2 - Comunicaciones.
3 - Indicador SISMAP.</t>
  </si>
  <si>
    <t>1 - Comunicaciones.
2 - Correos.
3 - Calendario de vacaciones.</t>
  </si>
  <si>
    <t>1,2,3,4 - Acciones de personal.
5 - Nómina publicada en el portal web de la Institución.</t>
  </si>
  <si>
    <t>1 - Informe de registro y control. Indicador SISMAP.</t>
  </si>
  <si>
    <t>1 - Comunicaciones.
2 - Plantilla de Planificación de RRHH creada.
3 - Correo electrónico al MAP.
4 - Convocatoria a 'Concursos publicados en la página Concurso del MAP.
5 - Acta final concurso.</t>
  </si>
  <si>
    <t>1 - Comunicaciones
2 - Designaciones.
3 - Acciones de personal.</t>
  </si>
  <si>
    <t>1,2,3,4 - Comunicaciones y correos.</t>
  </si>
  <si>
    <t>1 - Plantillas completadas, Planificación Publicada en el SISMAP.</t>
  </si>
  <si>
    <t>1 - Empleados reconocidos.
2 - Registros de participantes.
3,4 - Correos.</t>
  </si>
  <si>
    <t>1,2 - Correos. Registro de participantes.
3 - Acta constitutiva.
4,5,6 - Indicador SISMAP.</t>
  </si>
  <si>
    <t>1 - Correos.
2 - Registro de participantes.
3 - Acta constitutiva.
4 - Indicador SISMAP.</t>
  </si>
  <si>
    <t>1,2,3,4 - Correos.
5 - Registro de participantes. Informe de resultados.
6 - Plan de acción.
7 - Indicador SISMAP. Comunicaciones.</t>
  </si>
  <si>
    <t>1 - Comunicación enviada al MAP.
2 - Indicador SISMAP.</t>
  </si>
  <si>
    <t>1,2 - Comunicaciones.
3 - Hoja de calculo Reclasoft.
4 - Comunicación solicitud pago de prestaciones.</t>
  </si>
  <si>
    <t>Garantizar a los ciudadanos el acceso a la información.</t>
  </si>
  <si>
    <t>Informaciones Publicadas del Portal de Transparencia.</t>
  </si>
  <si>
    <t>No. de Informaciones publicadas.</t>
  </si>
  <si>
    <t>1 - Recepción y validación de las informaciones.
2 - Actualización en el portal de Transparencia.</t>
  </si>
  <si>
    <t>Asociaciones del Comité de Compras y Contrataciones.</t>
  </si>
  <si>
    <t>No. de Convocatorias a reuniones.</t>
  </si>
  <si>
    <t>1 - Participación en los procesos de Compras y Contrataciones.</t>
  </si>
  <si>
    <t>Cumplir con el plazo de 15 días hábiles para dar respuesta según lo establecido por la Ley  200-04 y su Reglamento No.130-05.</t>
  </si>
  <si>
    <t>Solicitudes de Información.</t>
  </si>
  <si>
    <t>No. de estadísticas trimestrales de la OAI.</t>
  </si>
  <si>
    <t>1 - Recepción de solicitud.
2 - Gestión de respuesta en el área correspondiente.
3 -  Formalización de respuesta de OAI a solicitante.</t>
  </si>
  <si>
    <t>Mantener una puntuación sobresaliente en las evaluaciones del órgano rector (DIGEIG).</t>
  </si>
  <si>
    <t>Evaluación mensual del DIGEIG.</t>
  </si>
  <si>
    <t>No. de Publicaciones mensuales de resultados de evaluación.</t>
  </si>
  <si>
    <t>1 - Pre-evaluación de la DIGEIG.
2 - Subsanación.
3 - Evaluación final de la DIGEIG.</t>
  </si>
  <si>
    <t>Mantener una gestión Institucional libre de corrupción y apegada a la transparencia.</t>
  </si>
  <si>
    <t>Informes de la Comisión de Ética.</t>
  </si>
  <si>
    <t>No. de Informes trimestrales del Plan de Trabajo CEP.</t>
  </si>
  <si>
    <t>1 - Desarrollo de cada trimestre según las actividades pautadas en el Plan de Trabajo.
2 -  Evaluación y envío de evidencias a la DIGEIG.</t>
  </si>
  <si>
    <t>Oficina de Libre Acceso a la Información.</t>
  </si>
  <si>
    <t>Departamentos internos del INESPRE.</t>
  </si>
  <si>
    <t>1 - Correos electrónicos.
2 - Portal de Transparencia.</t>
  </si>
  <si>
    <t>1 - Convocatorias a reuniones del Comité de Compras.</t>
  </si>
  <si>
    <t>1 - Cuadro de estadísticas OAI trimestral.
2 - Comunicaciones a los departamentos internos.
3 - Comunicación de respuesta al solicitante.</t>
  </si>
  <si>
    <t>1 - Informe de evaluación preliminar.
2 - Informe de evaluación preliminar con observaciones.
3 - Reporte de evaluación final emitida por la DIGEIG.</t>
  </si>
  <si>
    <t>Comisión de Ética.</t>
  </si>
  <si>
    <t xml:space="preserve">1 - Listado de asistencia, correos electrónicos masivos, convocatorias.
2 - Informes trimestrales publicados en el portal de Transparencia. </t>
  </si>
  <si>
    <t> </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</si>
  <si>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</si>
  <si>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</si>
  <si>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</si>
  <si>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</si>
  <si>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</si>
  <si>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</si>
  <si>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</si>
  <si>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</si>
  <si>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</si>
  <si>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</si>
  <si>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</si>
  <si>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t>1 - Programación de abastecimiento y distribución.
2 - Reporte diario de abastecimiento y distribución.
3 - Reporte diario de abastecimiento y distribución.
4 - Documento interno MP5 y MP12.
5 - Documento de carga/descarga.</t>
  </si>
  <si>
    <t>-Departamento de Tecnologías de la Información y Comunicación.</t>
  </si>
  <si>
    <t>1,2 - Videos de la actividad, memorias.
3 - Video en las redes sociales.</t>
  </si>
  <si>
    <t>1 - Ocasión de interés.
2 - Comunicación, grabación.
3 - Páginas institucionales, redes y medios impresos.</t>
  </si>
  <si>
    <t>No. de Circuitos de pantalla instalados.</t>
  </si>
  <si>
    <t>1 - Diagnóstico de la situación actual.
2 - Documento físico de la cotización.
3 - Documento de adjudicación de compras.
4 - Documento con imágenes del UPS instalado.</t>
  </si>
  <si>
    <t>-Dirección de Comercialización</t>
  </si>
  <si>
    <r>
      <t xml:space="preserve">Lic. Karina Esther Muñoz
</t>
    </r>
    <r>
      <rPr>
        <sz val="11"/>
        <color indexed="8"/>
        <rFont val="Times New Roman"/>
        <family val="1"/>
      </rPr>
      <t>Encargada División de Formulación, Monitoreo y Evaluación de PPP</t>
    </r>
  </si>
  <si>
    <t>1 - Solicitud enviada y firmada por el área.
2 - Propuestas enviadas y mesas de trabajo realizadas.
3 - Plan elaborado y publicado en la plataforma NOBACI.</t>
  </si>
  <si>
    <t>Cuarto Trimestre</t>
  </si>
  <si>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</si>
  <si>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</si>
  <si>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</si>
  <si>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Ing. Erick Sánchez 
</t>
    </r>
    <r>
      <rPr>
        <sz val="11"/>
        <color indexed="8"/>
        <rFont val="Times New Roman"/>
        <family val="1"/>
      </rPr>
      <t>Analista</t>
    </r>
  </si>
  <si>
    <r>
      <t xml:space="preserve">Lic. Ivanna Sánchez 
</t>
    </r>
    <r>
      <rPr>
        <sz val="11"/>
        <color indexed="8"/>
        <rFont val="Times New Roman"/>
        <family val="1"/>
      </rPr>
      <t>Analista</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</si>
</sst>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quot;RD&quot;&quot;$&quot;#,##0"/>
    <numFmt numFmtId="170" formatCode="[$-409]#,##0"/>
  </numFmts>
  <fonts count="47"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b/>
      <sz val="20"/>
      <color theme="0"/>
      <name val="Calibri"/>
      <family val="2"/>
      <scheme val="minor"/>
    </font>
    <font>
      <b/>
      <sz val="20"/>
      <name val="Calibri"/>
      <family val="2"/>
      <scheme val="minor"/>
    </font>
    <font>
      <b/>
      <sz val="12"/>
      <name val="Calibri"/>
      <family val="2"/>
      <scheme val="minor"/>
    </font>
    <font>
      <b/>
      <sz val="12"/>
      <color theme="0"/>
      <name val="Calibri"/>
      <family val="2"/>
      <scheme val="minor"/>
    </font>
    <font>
      <sz val="12"/>
      <color theme="1"/>
      <name val="Calibri"/>
      <family val="2"/>
      <scheme val="minor"/>
    </font>
    <font>
      <sz val="20"/>
      <color theme="1"/>
      <name val="Calibri"/>
      <family val="2"/>
      <scheme val="minor"/>
    </font>
    <font>
      <sz val="12"/>
      <name val="Calibri"/>
      <family val="2"/>
      <scheme val="minor"/>
    </font>
    <font>
      <b/>
      <sz val="12"/>
      <color theme="1"/>
      <name val="Calibri"/>
      <family val="2"/>
      <scheme val="minor"/>
    </font>
    <font>
      <b/>
      <sz val="12"/>
      <color theme="1"/>
      <name val="Arial"/>
      <family val="2"/>
    </font>
    <font>
      <sz val="12"/>
      <color rgb="FF000000"/>
      <name val="Calibri"/>
      <family val="2"/>
    </font>
    <font>
      <b/>
      <sz val="12"/>
      <color theme="1"/>
      <name val="Calibri"/>
      <family val="2"/>
    </font>
    <font>
      <b/>
      <sz val="12"/>
      <color rgb="FF000000"/>
      <name val="Calibri"/>
      <family val="2"/>
    </font>
    <font>
      <b/>
      <sz val="12"/>
      <name val="Calibri"/>
      <family val="2"/>
    </font>
    <font>
      <sz val="12"/>
      <color rgb="FF000000"/>
      <name val="Calibri"/>
      <family val="2"/>
      <scheme val="minor"/>
    </font>
    <font>
      <b/>
      <sz val="12"/>
      <color rgb="FF000000"/>
      <name val="Calibri"/>
      <family val="2"/>
      <scheme val="minor"/>
    </font>
    <font>
      <sz val="10"/>
      <name val="Calibri"/>
      <family val="2"/>
      <scheme val="minor"/>
    </font>
    <font>
      <sz val="12"/>
      <name val="Calibri"/>
      <family val="2"/>
    </font>
    <font>
      <sz val="12"/>
      <color rgb="FF000000"/>
      <name val="Calibri"/>
      <family val="2"/>
      <charset val="1"/>
    </font>
    <font>
      <sz val="11"/>
      <color rgb="FF000000"/>
      <name val="Calibri"/>
      <family val="2"/>
      <scheme val="minor"/>
    </font>
  </fonts>
  <fills count="12">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bgColor indexed="64"/>
      </patternFill>
    </fill>
    <fill>
      <patternFill patternType="solid">
        <fgColor theme="0" tint="-0.14999847407452621"/>
        <bgColor indexed="64"/>
      </patternFill>
    </fill>
    <fill>
      <patternFill patternType="solid">
        <fgColor rgb="FF385723"/>
        <bgColor indexed="64"/>
      </patternFill>
    </fill>
    <fill>
      <patternFill patternType="solid">
        <fgColor rgb="FFA9D18D"/>
        <bgColor indexed="64"/>
      </patternFill>
    </fill>
    <fill>
      <patternFill patternType="solid">
        <fgColor rgb="FF70AD47"/>
        <bgColor indexed="64"/>
      </patternFill>
    </fill>
    <fill>
      <patternFill patternType="solid">
        <fgColor rgb="FFFFFFFF"/>
        <bgColor rgb="FFFFFFFF"/>
      </patternFill>
    </fill>
    <fill>
      <patternFill patternType="solid">
        <fgColor rgb="FFFFFFFF"/>
        <bgColor rgb="FFFFFFCC"/>
      </patternFill>
    </fill>
    <fill>
      <patternFill patternType="solid">
        <fgColor rgb="FFDDDDDD"/>
        <bgColor indexed="64"/>
      </patternFill>
    </fill>
  </fills>
  <borders count="8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auto="1"/>
      </right>
      <top/>
      <bottom/>
      <diagonal/>
    </border>
    <border>
      <left style="medium">
        <color auto="1"/>
      </left>
      <right style="medium">
        <color auto="1"/>
      </right>
      <top/>
      <bottom/>
      <diagonal/>
    </border>
    <border>
      <left style="medium">
        <color rgb="FF000000"/>
      </left>
      <right style="medium">
        <color auto="1"/>
      </right>
      <top/>
      <bottom style="medium">
        <color rgb="FF000000"/>
      </bottom>
      <diagonal/>
    </border>
    <border>
      <left style="medium">
        <color rgb="FF000000"/>
      </left>
      <right style="medium">
        <color auto="1"/>
      </right>
      <top style="medium">
        <color rgb="FF000000"/>
      </top>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rgb="FF000000"/>
      </right>
      <top style="medium">
        <color auto="1"/>
      </top>
      <bottom style="medium">
        <color auto="1"/>
      </bottom>
      <diagonal/>
    </border>
    <border>
      <left style="medium">
        <color auto="1"/>
      </left>
      <right/>
      <top style="medium">
        <color auto="1"/>
      </top>
      <bottom/>
      <diagonal/>
    </border>
    <border>
      <left style="medium">
        <color rgb="FF000000"/>
      </left>
      <right style="medium">
        <color rgb="FF000000"/>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indexed="8"/>
      </left>
      <right style="medium">
        <color auto="1"/>
      </right>
      <top style="double">
        <color indexed="9"/>
      </top>
      <bottom style="double">
        <color indexed="9"/>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indexed="9"/>
      </top>
      <bottom/>
      <diagonal/>
    </border>
    <border>
      <left/>
      <right style="medium">
        <color indexed="9"/>
      </right>
      <top style="medium">
        <color indexed="9"/>
      </top>
      <bottom/>
      <diagonal/>
    </border>
    <border>
      <left/>
      <right style="medium">
        <color indexed="9"/>
      </right>
      <top/>
      <bottom/>
      <diagonal/>
    </border>
    <border>
      <left/>
      <right/>
      <top/>
      <bottom style="medium">
        <color indexed="9"/>
      </bottom>
      <diagonal/>
    </border>
    <border>
      <left/>
      <right style="medium">
        <color indexed="9"/>
      </right>
      <top/>
      <bottom style="medium">
        <color indexed="9"/>
      </bottom>
      <diagonal/>
    </border>
    <border>
      <left/>
      <right/>
      <top/>
      <bottom style="medium">
        <color indexed="8"/>
      </bottom>
      <diagonal/>
    </border>
    <border>
      <left/>
      <right style="medium">
        <color indexed="9"/>
      </right>
      <top/>
      <bottom style="medium">
        <color indexed="8"/>
      </bottom>
      <diagonal/>
    </border>
    <border>
      <left style="medium">
        <color indexed="9"/>
      </left>
      <right/>
      <top style="medium">
        <color indexed="9"/>
      </top>
      <bottom/>
      <diagonal/>
    </border>
    <border>
      <left/>
      <right style="medium">
        <color indexed="8"/>
      </right>
      <top style="medium">
        <color indexed="9"/>
      </top>
      <bottom/>
      <diagonal/>
    </border>
    <border>
      <left style="medium">
        <color indexed="9"/>
      </left>
      <right/>
      <top/>
      <bottom/>
      <diagonal/>
    </border>
    <border>
      <left/>
      <right style="medium">
        <color indexed="8"/>
      </right>
      <top/>
      <bottom/>
      <diagonal/>
    </border>
    <border>
      <left style="medium">
        <color indexed="9"/>
      </left>
      <right/>
      <top/>
      <bottom style="medium">
        <color indexed="8"/>
      </bottom>
      <diagonal/>
    </border>
    <border>
      <left/>
      <right style="medium">
        <color indexed="8"/>
      </right>
      <top/>
      <bottom style="medium">
        <color indexed="8"/>
      </bottom>
      <diagonal/>
    </border>
    <border>
      <left style="medium">
        <color rgb="FF000000"/>
      </left>
      <right style="medium">
        <color auto="1"/>
      </right>
      <top style="medium">
        <color rgb="FF000000"/>
      </top>
      <bottom style="medium">
        <color rgb="FF000000"/>
      </bottom>
      <diagonal/>
    </border>
    <border>
      <left style="medium">
        <color rgb="FF000000"/>
      </left>
      <right style="medium">
        <color indexed="8"/>
      </right>
      <top style="medium">
        <color rgb="FF000000"/>
      </top>
      <bottom/>
      <diagonal/>
    </border>
    <border>
      <left style="medium">
        <color indexed="8"/>
      </left>
      <right style="medium">
        <color indexed="8"/>
      </right>
      <top style="medium">
        <color rgb="FF000000"/>
      </top>
      <bottom/>
      <diagonal/>
    </border>
    <border>
      <left style="medium">
        <color rgb="FF000000"/>
      </left>
      <right style="medium">
        <color indexed="8"/>
      </right>
      <top style="medium">
        <color indexed="8"/>
      </top>
      <bottom/>
      <diagonal/>
    </border>
    <border>
      <left style="medium">
        <color rgb="FF000000"/>
      </left>
      <right style="medium">
        <color indexed="8"/>
      </right>
      <top style="double">
        <color indexed="9"/>
      </top>
      <bottom style="double">
        <color indexed="9"/>
      </bottom>
      <diagonal/>
    </border>
    <border>
      <left style="medium">
        <color rgb="FF000000"/>
      </left>
      <right style="double">
        <color indexed="9"/>
      </right>
      <top style="double">
        <color indexed="9"/>
      </top>
      <bottom style="double">
        <color indexed="9"/>
      </bottom>
      <diagonal/>
    </border>
    <border>
      <left style="medium">
        <color rgb="FF000000"/>
      </left>
      <right style="double">
        <color indexed="9"/>
      </right>
      <top style="double">
        <color indexed="9"/>
      </top>
      <bottom style="thin">
        <color indexed="8"/>
      </bottom>
      <diagonal/>
    </border>
    <border>
      <left style="medium">
        <color rgb="FF000000"/>
      </left>
      <right style="medium">
        <color indexed="8"/>
      </right>
      <top style="thin">
        <color indexed="8"/>
      </top>
      <bottom/>
      <diagonal/>
    </border>
    <border>
      <left style="medium">
        <color rgb="FF000000"/>
      </left>
      <right/>
      <top style="medium">
        <color indexed="9"/>
      </top>
      <bottom/>
      <diagonal/>
    </border>
    <border>
      <left style="medium">
        <color rgb="FF000000"/>
      </left>
      <right/>
      <top/>
      <bottom/>
      <diagonal/>
    </border>
    <border>
      <left style="medium">
        <color rgb="FF000000"/>
      </left>
      <right/>
      <top/>
      <bottom style="medium">
        <color indexed="9"/>
      </bottom>
      <diagonal/>
    </border>
    <border>
      <left style="medium">
        <color rgb="FF000000"/>
      </left>
      <right/>
      <top/>
      <bottom style="medium">
        <color indexed="8"/>
      </bottom>
      <diagonal/>
    </border>
    <border>
      <left style="medium">
        <color rgb="FF000000"/>
      </left>
      <right style="medium">
        <color indexed="8"/>
      </right>
      <top style="medium">
        <color indexed="8"/>
      </top>
      <bottom style="medium">
        <color indexed="8"/>
      </bottom>
      <diagonal/>
    </border>
  </borders>
  <cellStyleXfs count="54">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4" fontId="11" fillId="0" borderId="0" applyBorder="0" applyProtection="0"/>
    <xf numFmtId="165" fontId="20"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cellStyleXfs>
  <cellXfs count="337">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0" fontId="15" fillId="0" borderId="19" xfId="2" applyFont="1" applyBorder="1" applyAlignment="1">
      <alignment vertical="top" wrapText="1"/>
    </xf>
    <xf numFmtId="0" fontId="15" fillId="0" borderId="20" xfId="2" applyFont="1" applyBorder="1" applyAlignment="1">
      <alignment vertical="top" wrapText="1"/>
    </xf>
    <xf numFmtId="0" fontId="32" fillId="0" borderId="0" xfId="0" applyFont="1" applyAlignment="1">
      <alignment vertical="center"/>
    </xf>
    <xf numFmtId="0" fontId="0" fillId="0" borderId="0" xfId="0" applyAlignment="1">
      <alignment vertical="center"/>
    </xf>
    <xf numFmtId="0" fontId="33" fillId="0" borderId="0" xfId="0" applyFont="1" applyAlignment="1">
      <alignment vertical="center"/>
    </xf>
    <xf numFmtId="0" fontId="0" fillId="4" borderId="0" xfId="0" applyFill="1" applyAlignment="1">
      <alignment vertical="center"/>
    </xf>
    <xf numFmtId="9" fontId="36" fillId="5" borderId="35" xfId="32" applyFont="1" applyFill="1" applyBorder="1" applyAlignment="1">
      <alignment horizontal="center" vertical="center" wrapText="1"/>
    </xf>
    <xf numFmtId="0" fontId="6" fillId="4" borderId="0" xfId="4" applyFill="1" applyAlignment="1">
      <alignment vertical="center"/>
    </xf>
    <xf numFmtId="0" fontId="6" fillId="0" borderId="0" xfId="4" applyAlignment="1">
      <alignment vertical="center"/>
    </xf>
    <xf numFmtId="0" fontId="6" fillId="0" borderId="0" xfId="4" applyAlignment="1">
      <alignment horizontal="left" vertical="center" wrapText="1"/>
    </xf>
    <xf numFmtId="0" fontId="30" fillId="7" borderId="34" xfId="4" applyFont="1" applyFill="1" applyBorder="1" applyAlignment="1">
      <alignment horizontal="center" vertical="center" wrapText="1"/>
    </xf>
    <xf numFmtId="0" fontId="30" fillId="8" borderId="34" xfId="4" applyFont="1" applyFill="1" applyBorder="1" applyAlignment="1">
      <alignment horizontal="center" vertical="center" wrapText="1"/>
    </xf>
    <xf numFmtId="165" fontId="37" fillId="0" borderId="39" xfId="4" applyNumberFormat="1" applyFont="1" applyFill="1" applyBorder="1" applyAlignment="1" applyProtection="1">
      <alignment horizontal="center" vertical="center" wrapText="1"/>
    </xf>
    <xf numFmtId="3" fontId="38" fillId="0" borderId="40" xfId="0" applyNumberFormat="1" applyFont="1" applyBorder="1" applyAlignment="1" applyProtection="1">
      <alignment horizontal="center" vertical="center" wrapText="1"/>
    </xf>
    <xf numFmtId="165" fontId="39" fillId="0" borderId="39" xfId="4" applyNumberFormat="1" applyFont="1" applyFill="1" applyBorder="1" applyAlignment="1" applyProtection="1">
      <alignment horizontal="center" vertical="center" wrapText="1"/>
    </xf>
    <xf numFmtId="3" fontId="38" fillId="0" borderId="41" xfId="0" applyNumberFormat="1" applyFont="1" applyBorder="1" applyAlignment="1" applyProtection="1">
      <alignment horizontal="center" vertical="center" wrapText="1"/>
    </xf>
    <xf numFmtId="165" fontId="39" fillId="0" borderId="39" xfId="1" applyNumberFormat="1" applyFont="1" applyFill="1" applyBorder="1" applyAlignment="1" applyProtection="1">
      <alignment horizontal="center" vertical="center" wrapText="1"/>
    </xf>
    <xf numFmtId="3" fontId="38" fillId="0" borderId="34" xfId="0" applyNumberFormat="1" applyFont="1" applyBorder="1" applyAlignment="1" applyProtection="1">
      <alignment horizontal="center" vertical="center" wrapText="1"/>
    </xf>
    <xf numFmtId="3" fontId="40" fillId="0" borderId="34" xfId="0" applyNumberFormat="1" applyFont="1" applyBorder="1" applyAlignment="1" applyProtection="1">
      <alignment horizontal="center" vertical="center" wrapText="1"/>
    </xf>
    <xf numFmtId="165" fontId="37" fillId="0" borderId="39" xfId="1" applyNumberFormat="1" applyFont="1" applyFill="1" applyBorder="1" applyAlignment="1" applyProtection="1">
      <alignment horizontal="center" vertical="center" wrapText="1"/>
    </xf>
    <xf numFmtId="165" fontId="11" fillId="0" borderId="39" xfId="1" applyNumberFormat="1" applyFont="1" applyFill="1" applyBorder="1" applyAlignment="1" applyProtection="1">
      <alignment vertical="center"/>
    </xf>
    <xf numFmtId="0" fontId="0" fillId="0" borderId="0" xfId="0" applyFont="1" applyAlignment="1">
      <alignment vertical="center"/>
    </xf>
    <xf numFmtId="0" fontId="0" fillId="4" borderId="0" xfId="0" applyFont="1" applyFill="1" applyAlignment="1">
      <alignment vertical="center"/>
    </xf>
    <xf numFmtId="165" fontId="41" fillId="0" borderId="39" xfId="4" applyNumberFormat="1" applyFont="1" applyFill="1" applyBorder="1" applyAlignment="1" applyProtection="1">
      <alignment horizontal="center" vertical="center" wrapText="1"/>
    </xf>
    <xf numFmtId="3" fontId="35" fillId="0" borderId="40" xfId="0" applyNumberFormat="1" applyFont="1" applyBorder="1" applyAlignment="1" applyProtection="1">
      <alignment horizontal="center" vertical="center" wrapText="1"/>
    </xf>
    <xf numFmtId="165" fontId="42" fillId="0" borderId="39" xfId="4" applyNumberFormat="1" applyFont="1" applyFill="1" applyBorder="1" applyAlignment="1" applyProtection="1">
      <alignment horizontal="center" vertical="center" wrapText="1"/>
    </xf>
    <xf numFmtId="165" fontId="41" fillId="0" borderId="39" xfId="4" applyNumberFormat="1" applyFont="1" applyFill="1" applyBorder="1" applyAlignment="1" applyProtection="1">
      <alignment vertical="center" wrapText="1"/>
    </xf>
    <xf numFmtId="9" fontId="35" fillId="5" borderId="35" xfId="32" applyFont="1" applyFill="1" applyBorder="1" applyAlignment="1">
      <alignment horizontal="center" vertical="center" wrapText="1"/>
    </xf>
    <xf numFmtId="3" fontId="35" fillId="0" borderId="41" xfId="0" applyNumberFormat="1" applyFont="1" applyBorder="1" applyAlignment="1" applyProtection="1">
      <alignment horizontal="center" vertical="center" wrapText="1"/>
    </xf>
    <xf numFmtId="165" fontId="42" fillId="0" borderId="39" xfId="1" applyNumberFormat="1" applyFont="1" applyFill="1" applyBorder="1" applyAlignment="1" applyProtection="1">
      <alignment horizontal="center" vertical="center" wrapText="1"/>
    </xf>
    <xf numFmtId="3" fontId="35" fillId="0" borderId="34" xfId="0" applyNumberFormat="1" applyFont="1" applyBorder="1" applyAlignment="1" applyProtection="1">
      <alignment horizontal="center" vertical="center" wrapText="1"/>
    </xf>
    <xf numFmtId="3" fontId="30" fillId="0" borderId="34" xfId="0" applyNumberFormat="1" applyFont="1" applyBorder="1" applyAlignment="1" applyProtection="1">
      <alignment horizontal="center" vertical="center" wrapText="1"/>
    </xf>
    <xf numFmtId="165" fontId="41" fillId="0" borderId="39" xfId="1" applyNumberFormat="1" applyFont="1" applyFill="1" applyBorder="1" applyAlignment="1" applyProtection="1">
      <alignment horizontal="center" vertical="center" wrapText="1"/>
    </xf>
    <xf numFmtId="0" fontId="43" fillId="4" borderId="0" xfId="4" applyFont="1" applyFill="1" applyAlignment="1">
      <alignment vertical="center"/>
    </xf>
    <xf numFmtId="0" fontId="43" fillId="0" borderId="0" xfId="4" applyFont="1" applyAlignment="1">
      <alignment vertical="center"/>
    </xf>
    <xf numFmtId="0" fontId="43" fillId="0" borderId="0" xfId="4" applyFont="1" applyAlignment="1">
      <alignment horizontal="left" vertical="center" wrapText="1"/>
    </xf>
    <xf numFmtId="165" fontId="41" fillId="0" borderId="39" xfId="1" applyNumberFormat="1" applyFont="1" applyFill="1" applyBorder="1" applyAlignment="1" applyProtection="1">
      <alignment horizontal="center" vertical="center"/>
    </xf>
    <xf numFmtId="165" fontId="41" fillId="0" borderId="39" xfId="1" applyNumberFormat="1" applyFont="1" applyFill="1" applyBorder="1" applyAlignment="1" applyProtection="1">
      <alignment vertical="center"/>
    </xf>
    <xf numFmtId="0" fontId="34" fillId="0" borderId="34" xfId="0" applyFont="1" applyBorder="1" applyAlignment="1" applyProtection="1">
      <alignment horizontal="center" vertical="center" wrapText="1"/>
    </xf>
    <xf numFmtId="0" fontId="32" fillId="0" borderId="34" xfId="0" applyFont="1" applyFill="1" applyBorder="1" applyAlignment="1" applyProtection="1">
      <alignment horizontal="center" vertical="center" wrapText="1"/>
    </xf>
    <xf numFmtId="0" fontId="32" fillId="0" borderId="34" xfId="4" applyNumberFormat="1" applyFont="1" applyFill="1" applyBorder="1" applyAlignment="1" applyProtection="1">
      <alignment horizontal="left" vertical="center" wrapText="1"/>
    </xf>
    <xf numFmtId="165" fontId="37" fillId="0" borderId="40" xfId="1" applyNumberFormat="1" applyFont="1" applyFill="1" applyBorder="1" applyAlignment="1" applyProtection="1">
      <alignment horizontal="center" vertical="center" wrapText="1"/>
    </xf>
    <xf numFmtId="0" fontId="34" fillId="0" borderId="34" xfId="0" applyFont="1" applyFill="1" applyBorder="1" applyAlignment="1" applyProtection="1">
      <alignment horizontal="center" vertical="center" wrapText="1"/>
    </xf>
    <xf numFmtId="0" fontId="34" fillId="0" borderId="34" xfId="4" applyNumberFormat="1" applyFont="1" applyFill="1" applyBorder="1" applyAlignment="1" applyProtection="1">
      <alignment horizontal="center" vertical="center" wrapText="1"/>
    </xf>
    <xf numFmtId="0" fontId="34" fillId="0" borderId="34" xfId="4" applyNumberFormat="1" applyFont="1" applyBorder="1" applyAlignment="1" applyProtection="1">
      <alignment horizontal="center" vertical="center" wrapText="1"/>
    </xf>
    <xf numFmtId="0" fontId="34" fillId="0" borderId="34" xfId="4" applyNumberFormat="1" applyFont="1" applyFill="1" applyBorder="1" applyAlignment="1" applyProtection="1">
      <alignment horizontal="left" vertical="center" wrapText="1"/>
    </xf>
    <xf numFmtId="0" fontId="32" fillId="0" borderId="34" xfId="4" quotePrefix="1" applyNumberFormat="1" applyFont="1" applyFill="1" applyBorder="1" applyAlignment="1" applyProtection="1">
      <alignment horizontal="center" vertical="center" wrapText="1"/>
    </xf>
    <xf numFmtId="0" fontId="32" fillId="0" borderId="34" xfId="4" quotePrefix="1" applyNumberFormat="1" applyFont="1" applyFill="1" applyBorder="1" applyAlignment="1" applyProtection="1">
      <alignment horizontal="left" vertical="center" wrapText="1"/>
    </xf>
    <xf numFmtId="0" fontId="32" fillId="0" borderId="34" xfId="4" applyNumberFormat="1" applyFont="1" applyBorder="1" applyAlignment="1" applyProtection="1">
      <alignment horizontal="center" vertical="center" wrapText="1"/>
    </xf>
    <xf numFmtId="0" fontId="32" fillId="0" borderId="34" xfId="4" quotePrefix="1" applyNumberFormat="1" applyFont="1" applyBorder="1" applyAlignment="1" applyProtection="1">
      <alignment horizontal="center" vertical="center" wrapText="1"/>
    </xf>
    <xf numFmtId="0" fontId="32" fillId="0" borderId="34" xfId="4" applyNumberFormat="1" applyFont="1" applyFill="1" applyBorder="1" applyAlignment="1" applyProtection="1">
      <alignment horizontal="center" vertical="center" wrapText="1"/>
    </xf>
    <xf numFmtId="0" fontId="34" fillId="0" borderId="34" xfId="4" quotePrefix="1" applyNumberFormat="1" applyFont="1" applyBorder="1" applyAlignment="1" applyProtection="1">
      <alignment horizontal="center" vertical="center" wrapText="1"/>
    </xf>
    <xf numFmtId="0" fontId="34" fillId="0" borderId="34" xfId="4" quotePrefix="1" applyNumberFormat="1" applyFont="1" applyFill="1" applyBorder="1" applyAlignment="1" applyProtection="1">
      <alignment horizontal="left" vertical="center" wrapText="1"/>
    </xf>
    <xf numFmtId="165" fontId="37" fillId="0" borderId="39" xfId="1" applyNumberFormat="1" applyFont="1" applyFill="1" applyBorder="1" applyAlignment="1" applyProtection="1">
      <alignment horizontal="left" vertical="center" wrapText="1"/>
    </xf>
    <xf numFmtId="165" fontId="44" fillId="0" borderId="39" xfId="1" applyNumberFormat="1" applyFont="1" applyFill="1" applyBorder="1" applyAlignment="1" applyProtection="1">
      <alignment horizontal="left" vertical="center" wrapText="1"/>
    </xf>
    <xf numFmtId="169" fontId="38" fillId="0" borderId="40" xfId="0" applyNumberFormat="1" applyFont="1" applyBorder="1" applyAlignment="1" applyProtection="1">
      <alignment horizontal="center" vertical="center" wrapText="1"/>
    </xf>
    <xf numFmtId="49" fontId="37" fillId="0" borderId="39" xfId="1" quotePrefix="1" applyNumberFormat="1" applyFont="1" applyFill="1" applyBorder="1" applyAlignment="1" applyProtection="1">
      <alignment horizontal="center" vertical="center" wrapText="1"/>
    </xf>
    <xf numFmtId="165" fontId="37" fillId="0" borderId="39" xfId="1" quotePrefix="1" applyNumberFormat="1" applyFont="1" applyFill="1" applyBorder="1" applyAlignment="1" applyProtection="1">
      <alignment horizontal="center" vertical="center" wrapText="1"/>
    </xf>
    <xf numFmtId="0" fontId="0" fillId="0" borderId="39" xfId="0" applyFill="1" applyBorder="1" applyProtection="1"/>
    <xf numFmtId="0" fontId="32" fillId="0" borderId="34" xfId="16" applyFont="1" applyBorder="1" applyAlignment="1" applyProtection="1">
      <alignment horizontal="center" vertical="center" wrapText="1"/>
    </xf>
    <xf numFmtId="0" fontId="35" fillId="0" borderId="34" xfId="4" applyFont="1" applyBorder="1" applyAlignment="1" applyProtection="1">
      <alignment horizontal="center" vertical="center" wrapText="1"/>
    </xf>
    <xf numFmtId="0" fontId="32" fillId="0" borderId="34" xfId="16" applyFont="1" applyFill="1" applyBorder="1" applyAlignment="1" applyProtection="1">
      <alignment horizontal="left" vertical="center" wrapText="1"/>
    </xf>
    <xf numFmtId="0" fontId="35" fillId="0" borderId="35" xfId="4" applyFont="1" applyBorder="1" applyAlignment="1" applyProtection="1">
      <alignment horizontal="center" vertical="center" wrapText="1"/>
    </xf>
    <xf numFmtId="0" fontId="32" fillId="4" borderId="34" xfId="16" applyFont="1" applyFill="1" applyBorder="1" applyAlignment="1" applyProtection="1">
      <alignment horizontal="center" vertical="center" wrapText="1"/>
    </xf>
    <xf numFmtId="0" fontId="36" fillId="0" borderId="35" xfId="4" applyFont="1" applyBorder="1" applyAlignment="1" applyProtection="1">
      <alignment horizontal="center" vertical="center" wrapText="1"/>
    </xf>
    <xf numFmtId="0" fontId="32" fillId="0" borderId="35" xfId="16" applyFont="1" applyBorder="1" applyAlignment="1" applyProtection="1">
      <alignment horizontal="center" vertical="center" wrapText="1"/>
    </xf>
    <xf numFmtId="0" fontId="32" fillId="4" borderId="35" xfId="16" applyFont="1" applyFill="1" applyBorder="1" applyAlignment="1" applyProtection="1">
      <alignment horizontal="center" vertical="center" wrapText="1"/>
    </xf>
    <xf numFmtId="0" fontId="32" fillId="0" borderId="35" xfId="16" applyFont="1" applyFill="1" applyBorder="1" applyAlignment="1" applyProtection="1">
      <alignment horizontal="left" vertical="center" wrapText="1"/>
    </xf>
    <xf numFmtId="0" fontId="32" fillId="0" borderId="34" xfId="16" quotePrefix="1" applyFont="1" applyFill="1" applyBorder="1" applyAlignment="1" applyProtection="1">
      <alignment horizontal="center" vertical="center" wrapText="1"/>
    </xf>
    <xf numFmtId="0" fontId="32" fillId="0" borderId="34" xfId="16" applyFont="1" applyFill="1" applyBorder="1" applyAlignment="1" applyProtection="1">
      <alignment horizontal="center" vertical="center" wrapText="1"/>
    </xf>
    <xf numFmtId="0" fontId="32" fillId="0" borderId="34" xfId="16" quotePrefix="1" applyFont="1" applyFill="1" applyBorder="1" applyAlignment="1" applyProtection="1">
      <alignment horizontal="left" vertical="center" wrapText="1"/>
    </xf>
    <xf numFmtId="0" fontId="32" fillId="0" borderId="34" xfId="16" quotePrefix="1" applyFont="1" applyBorder="1" applyAlignment="1" applyProtection="1">
      <alignment horizontal="center" vertical="center" wrapText="1"/>
    </xf>
    <xf numFmtId="0" fontId="32" fillId="0" borderId="35" xfId="16" quotePrefix="1" applyFont="1" applyBorder="1" applyAlignment="1" applyProtection="1">
      <alignment horizontal="center" vertical="center" wrapText="1"/>
    </xf>
    <xf numFmtId="165" fontId="37" fillId="0" borderId="39" xfId="4" applyNumberFormat="1" applyFont="1" applyFill="1" applyBorder="1" applyAlignment="1" applyProtection="1">
      <alignment horizontal="left" vertical="center" wrapText="1"/>
    </xf>
    <xf numFmtId="165" fontId="37" fillId="4" borderId="39" xfId="1" quotePrefix="1" applyNumberFormat="1" applyFont="1" applyFill="1" applyBorder="1" applyAlignment="1" applyProtection="1">
      <alignment horizontal="left" vertical="center" wrapText="1"/>
    </xf>
    <xf numFmtId="165" fontId="37" fillId="4" borderId="39" xfId="1" quotePrefix="1" applyNumberFormat="1" applyFont="1" applyFill="1" applyBorder="1" applyAlignment="1" applyProtection="1">
      <alignment vertical="center" wrapText="1"/>
    </xf>
    <xf numFmtId="165" fontId="37" fillId="0" borderId="39" xfId="4" quotePrefix="1" applyNumberFormat="1" applyFont="1" applyFill="1" applyBorder="1" applyAlignment="1" applyProtection="1">
      <alignment horizontal="left" vertical="center" wrapText="1"/>
    </xf>
    <xf numFmtId="165" fontId="37" fillId="0" borderId="39" xfId="4" quotePrefix="1" applyNumberFormat="1" applyFont="1" applyFill="1" applyBorder="1" applyAlignment="1" applyProtection="1">
      <alignment horizontal="center" vertical="center" wrapText="1"/>
    </xf>
    <xf numFmtId="165" fontId="37" fillId="0" borderId="39" xfId="1" applyNumberFormat="1" applyFont="1" applyFill="1" applyBorder="1" applyAlignment="1" applyProtection="1">
      <alignment horizontal="center" vertical="center"/>
    </xf>
    <xf numFmtId="165" fontId="37" fillId="0" borderId="34" xfId="15" applyNumberFormat="1" applyFont="1" applyFill="1" applyBorder="1" applyAlignment="1" applyProtection="1">
      <alignment horizontal="center" vertical="center" wrapText="1"/>
    </xf>
    <xf numFmtId="165" fontId="39" fillId="0" borderId="34" xfId="4" applyNumberFormat="1" applyFont="1" applyBorder="1" applyAlignment="1" applyProtection="1">
      <alignment horizontal="center" vertical="center" wrapText="1"/>
    </xf>
    <xf numFmtId="165" fontId="37" fillId="0" borderId="34" xfId="15" applyNumberFormat="1" applyFont="1" applyFill="1" applyBorder="1" applyAlignment="1" applyProtection="1">
      <alignment horizontal="left" vertical="center" wrapText="1"/>
    </xf>
    <xf numFmtId="165" fontId="37" fillId="0" borderId="34" xfId="15" quotePrefix="1" applyNumberFormat="1" applyFont="1" applyFill="1" applyBorder="1" applyAlignment="1" applyProtection="1">
      <alignment horizontal="center" vertical="center" wrapText="1"/>
    </xf>
    <xf numFmtId="165" fontId="37" fillId="0" borderId="50" xfId="4" quotePrefix="1" applyNumberFormat="1" applyFont="1" applyFill="1" applyBorder="1" applyAlignment="1" applyProtection="1">
      <alignment horizontal="left" vertical="center" wrapText="1"/>
    </xf>
    <xf numFmtId="165" fontId="37" fillId="0" borderId="50" xfId="1" quotePrefix="1" applyNumberFormat="1" applyFont="1" applyFill="1" applyBorder="1" applyAlignment="1" applyProtection="1">
      <alignment vertical="center" wrapText="1"/>
    </xf>
    <xf numFmtId="165" fontId="37" fillId="0" borderId="22" xfId="15" applyNumberFormat="1" applyFont="1" applyFill="1" applyBorder="1" applyAlignment="1" applyProtection="1">
      <alignment horizontal="left" vertical="center" wrapText="1"/>
    </xf>
    <xf numFmtId="165" fontId="37" fillId="0" borderId="34" xfId="4" applyNumberFormat="1" applyFont="1" applyFill="1" applyBorder="1" applyAlignment="1" applyProtection="1">
      <alignment horizontal="center" vertical="center" wrapText="1"/>
    </xf>
    <xf numFmtId="165" fontId="37" fillId="0" borderId="34" xfId="1" applyNumberFormat="1" applyFont="1" applyFill="1" applyBorder="1" applyAlignment="1" applyProtection="1">
      <alignment vertical="center"/>
    </xf>
    <xf numFmtId="165" fontId="45" fillId="0" borderId="34" xfId="15" applyNumberFormat="1" applyFont="1" applyFill="1" applyBorder="1" applyAlignment="1" applyProtection="1">
      <alignment horizontal="center" vertical="center" wrapText="1"/>
    </xf>
    <xf numFmtId="165" fontId="37" fillId="0" borderId="51" xfId="4" applyNumberFormat="1" applyFont="1" applyFill="1" applyBorder="1" applyAlignment="1" applyProtection="1">
      <alignment horizontal="center" vertical="center" wrapText="1"/>
    </xf>
    <xf numFmtId="165" fontId="37" fillId="9" borderId="39" xfId="1" applyNumberFormat="1" applyFont="1" applyFill="1" applyBorder="1" applyAlignment="1" applyProtection="1">
      <alignment horizontal="center" vertical="center" wrapText="1"/>
    </xf>
    <xf numFmtId="165" fontId="37" fillId="0" borderId="39" xfId="1" quotePrefix="1" applyNumberFormat="1" applyFont="1" applyFill="1" applyBorder="1" applyAlignment="1" applyProtection="1">
      <alignment horizontal="left" vertical="center" wrapText="1"/>
    </xf>
    <xf numFmtId="165" fontId="44" fillId="0" borderId="39" xfId="4" quotePrefix="1" applyNumberFormat="1" applyFont="1" applyFill="1" applyBorder="1" applyAlignment="1" applyProtection="1">
      <alignment horizontal="center" vertical="center" wrapText="1"/>
    </xf>
    <xf numFmtId="165" fontId="37" fillId="0" borderId="39" xfId="1" applyNumberFormat="1" applyFont="1" applyFill="1" applyBorder="1" applyAlignment="1" applyProtection="1">
      <alignment vertical="center" wrapText="1"/>
    </xf>
    <xf numFmtId="165" fontId="37" fillId="10" borderId="34" xfId="33" applyNumberFormat="1" applyFont="1" applyFill="1" applyBorder="1" applyAlignment="1" applyProtection="1">
      <alignment horizontal="center" vertical="center" wrapText="1"/>
    </xf>
    <xf numFmtId="165" fontId="37" fillId="0" borderId="34" xfId="33" applyNumberFormat="1" applyFont="1" applyBorder="1" applyAlignment="1" applyProtection="1">
      <alignment horizontal="center" vertical="center" wrapText="1"/>
    </xf>
    <xf numFmtId="165" fontId="37" fillId="0" borderId="34" xfId="33" applyNumberFormat="1" applyFont="1" applyBorder="1" applyAlignment="1" applyProtection="1">
      <alignment horizontal="left" vertical="center" wrapText="1"/>
    </xf>
    <xf numFmtId="165" fontId="37" fillId="10" borderId="42" xfId="33" applyNumberFormat="1" applyFont="1" applyFill="1" applyBorder="1" applyAlignment="1" applyProtection="1">
      <alignment horizontal="center" vertical="center" wrapText="1"/>
    </xf>
    <xf numFmtId="170" fontId="37" fillId="0" borderId="34" xfId="33" applyNumberFormat="1" applyFont="1" applyBorder="1" applyAlignment="1" applyProtection="1">
      <alignment horizontal="center" vertical="center" wrapText="1"/>
    </xf>
    <xf numFmtId="165" fontId="37" fillId="10" borderId="31" xfId="33" applyNumberFormat="1" applyFont="1" applyFill="1" applyBorder="1" applyAlignment="1" applyProtection="1">
      <alignment horizontal="center" vertical="center" wrapText="1"/>
    </xf>
    <xf numFmtId="165" fontId="37" fillId="10" borderId="35" xfId="33" applyNumberFormat="1" applyFont="1" applyFill="1" applyBorder="1" applyAlignment="1" applyProtection="1">
      <alignment horizontal="center" vertical="center" wrapText="1"/>
    </xf>
    <xf numFmtId="165" fontId="37" fillId="10" borderId="34" xfId="33" applyNumberFormat="1" applyFont="1" applyFill="1" applyBorder="1" applyAlignment="1" applyProtection="1">
      <alignment horizontal="left" vertical="center" wrapText="1"/>
    </xf>
    <xf numFmtId="165" fontId="37" fillId="0" borderId="34" xfId="33" applyNumberFormat="1" applyFont="1" applyFill="1" applyBorder="1" applyAlignment="1" applyProtection="1">
      <alignment horizontal="left" vertical="center" wrapText="1"/>
    </xf>
    <xf numFmtId="165" fontId="37" fillId="10" borderId="42" xfId="33" applyNumberFormat="1" applyFont="1" applyFill="1" applyBorder="1" applyAlignment="1" applyProtection="1">
      <alignment horizontal="left" vertical="center" wrapText="1"/>
    </xf>
    <xf numFmtId="165" fontId="45" fillId="0" borderId="34" xfId="33" applyNumberFormat="1" applyFont="1" applyBorder="1" applyAlignment="1" applyProtection="1">
      <alignment horizontal="center" vertical="center" wrapText="1"/>
    </xf>
    <xf numFmtId="165" fontId="37" fillId="0" borderId="34" xfId="33" quotePrefix="1" applyNumberFormat="1" applyFont="1" applyBorder="1" applyAlignment="1" applyProtection="1">
      <alignment horizontal="center" vertical="center" wrapText="1"/>
    </xf>
    <xf numFmtId="165" fontId="37" fillId="0" borderId="34" xfId="11" applyNumberFormat="1" applyFont="1" applyBorder="1" applyAlignment="1" applyProtection="1">
      <alignment horizontal="center" vertical="center" wrapText="1"/>
    </xf>
    <xf numFmtId="165" fontId="37" fillId="0" borderId="34" xfId="11" applyNumberFormat="1" applyFont="1" applyFill="1" applyBorder="1" applyAlignment="1" applyProtection="1">
      <alignment horizontal="center" vertical="center" wrapText="1"/>
    </xf>
    <xf numFmtId="165" fontId="37" fillId="10" borderId="34" xfId="11" applyNumberFormat="1" applyFont="1" applyFill="1" applyBorder="1" applyAlignment="1" applyProtection="1">
      <alignment horizontal="center" vertical="center" wrapText="1"/>
    </xf>
    <xf numFmtId="165" fontId="37" fillId="0" borderId="34" xfId="11" applyNumberFormat="1" applyFont="1" applyBorder="1" applyAlignment="1" applyProtection="1">
      <alignment horizontal="left" vertical="center" wrapText="1"/>
    </xf>
    <xf numFmtId="165" fontId="37" fillId="0" borderId="34" xfId="19" applyNumberFormat="1" applyFont="1" applyBorder="1" applyAlignment="1" applyProtection="1">
      <alignment horizontal="center" vertical="center" wrapText="1"/>
    </xf>
    <xf numFmtId="0" fontId="37" fillId="0" borderId="34" xfId="11" applyNumberFormat="1" applyFont="1" applyBorder="1" applyAlignment="1" applyProtection="1">
      <alignment horizontal="center" vertical="center" wrapText="1"/>
    </xf>
    <xf numFmtId="165" fontId="37" fillId="0" borderId="34" xfId="19" applyNumberFormat="1" applyFont="1" applyBorder="1" applyAlignment="1" applyProtection="1">
      <alignment horizontal="left" vertical="center" wrapText="1"/>
    </xf>
    <xf numFmtId="165" fontId="45" fillId="0" borderId="34" xfId="19" applyNumberFormat="1" applyFont="1" applyBorder="1" applyAlignment="1" applyProtection="1">
      <alignment horizontal="center" vertical="center" wrapText="1"/>
    </xf>
    <xf numFmtId="0" fontId="32" fillId="0" borderId="42" xfId="16" applyFont="1" applyFill="1" applyBorder="1" applyAlignment="1" applyProtection="1">
      <alignment horizontal="center" vertical="center" wrapText="1"/>
    </xf>
    <xf numFmtId="0" fontId="35" fillId="0" borderId="42" xfId="4" applyFont="1" applyFill="1" applyBorder="1" applyAlignment="1" applyProtection="1">
      <alignment horizontal="center" vertical="center" wrapText="1"/>
    </xf>
    <xf numFmtId="0" fontId="32" fillId="0" borderId="42" xfId="16" applyFont="1" applyFill="1" applyBorder="1" applyAlignment="1" applyProtection="1">
      <alignment horizontal="left" vertical="center" wrapText="1"/>
    </xf>
    <xf numFmtId="0" fontId="41" fillId="0" borderId="42" xfId="24" applyFont="1" applyFill="1" applyBorder="1" applyAlignment="1" applyProtection="1">
      <alignment horizontal="center" vertical="center" wrapText="1"/>
    </xf>
    <xf numFmtId="0" fontId="35" fillId="0" borderId="34" xfId="4" applyFont="1" applyFill="1" applyBorder="1" applyAlignment="1" applyProtection="1">
      <alignment horizontal="center" vertical="center" wrapText="1"/>
    </xf>
    <xf numFmtId="0" fontId="32" fillId="0" borderId="42" xfId="24" applyFont="1" applyFill="1" applyBorder="1" applyAlignment="1" applyProtection="1">
      <alignment horizontal="center" vertical="center" wrapText="1"/>
    </xf>
    <xf numFmtId="0" fontId="32" fillId="0" borderId="42" xfId="24" applyFont="1" applyFill="1" applyBorder="1" applyAlignment="1" applyProtection="1">
      <alignment horizontal="left" vertical="center" wrapText="1"/>
    </xf>
    <xf numFmtId="0" fontId="32" fillId="0" borderId="34" xfId="23" applyFont="1" applyFill="1" applyBorder="1" applyAlignment="1" applyProtection="1">
      <alignment horizontal="center" vertical="center" wrapText="1"/>
    </xf>
    <xf numFmtId="0" fontId="32" fillId="0" borderId="34" xfId="24" applyFont="1" applyFill="1" applyBorder="1" applyAlignment="1" applyProtection="1">
      <alignment horizontal="center" vertical="center" wrapText="1"/>
    </xf>
    <xf numFmtId="0" fontId="32" fillId="0" borderId="34" xfId="23" applyFont="1" applyFill="1" applyBorder="1" applyAlignment="1" applyProtection="1">
      <alignment horizontal="left" vertical="center" wrapText="1"/>
    </xf>
    <xf numFmtId="0" fontId="32" fillId="0" borderId="42" xfId="16" quotePrefix="1" applyFont="1" applyFill="1" applyBorder="1" applyAlignment="1" applyProtection="1">
      <alignment horizontal="center" vertical="center" wrapText="1"/>
    </xf>
    <xf numFmtId="0" fontId="32" fillId="0" borderId="53" xfId="16" applyFont="1" applyFill="1" applyBorder="1" applyAlignment="1" applyProtection="1">
      <alignment horizontal="left" vertical="center" wrapText="1"/>
    </xf>
    <xf numFmtId="0" fontId="32" fillId="0" borderId="22" xfId="16" applyFont="1" applyFill="1" applyBorder="1" applyAlignment="1" applyProtection="1">
      <alignment horizontal="left" vertical="center" wrapText="1"/>
    </xf>
    <xf numFmtId="0" fontId="32" fillId="0" borderId="53" xfId="24" applyFont="1" applyFill="1" applyBorder="1" applyAlignment="1" applyProtection="1">
      <alignment horizontal="left" vertical="center" wrapText="1"/>
    </xf>
    <xf numFmtId="0" fontId="32" fillId="0" borderId="34" xfId="23" quotePrefix="1" applyFont="1" applyFill="1" applyBorder="1" applyAlignment="1" applyProtection="1">
      <alignment horizontal="center" vertical="center" wrapText="1"/>
    </xf>
    <xf numFmtId="0" fontId="32" fillId="0" borderId="22" xfId="23" applyFont="1" applyFill="1" applyBorder="1" applyAlignment="1" applyProtection="1">
      <alignment horizontal="left" vertical="center" wrapText="1"/>
    </xf>
    <xf numFmtId="0" fontId="32" fillId="0" borderId="34" xfId="23" applyFont="1" applyFill="1" applyBorder="1" applyAlignment="1" applyProtection="1">
      <alignment vertical="center"/>
    </xf>
    <xf numFmtId="0" fontId="32" fillId="0" borderId="34" xfId="23" applyFont="1" applyFill="1" applyBorder="1" applyAlignment="1" applyProtection="1">
      <alignment horizontal="center" vertical="center"/>
    </xf>
    <xf numFmtId="0" fontId="41" fillId="0" borderId="54" xfId="24" applyFont="1" applyFill="1" applyBorder="1" applyAlignment="1" applyProtection="1">
      <alignment horizontal="center" vertical="center" wrapText="1"/>
    </xf>
    <xf numFmtId="165" fontId="37" fillId="0" borderId="51" xfId="1" quotePrefix="1" applyNumberFormat="1" applyFont="1" applyFill="1" applyBorder="1" applyAlignment="1" applyProtection="1">
      <alignment horizontal="center" vertical="center" wrapText="1"/>
    </xf>
    <xf numFmtId="165" fontId="37" fillId="0" borderId="50" xfId="1" applyNumberFormat="1" applyFont="1" applyFill="1" applyBorder="1" applyAlignment="1" applyProtection="1">
      <alignment horizontal="left" vertical="center" wrapText="1"/>
    </xf>
    <xf numFmtId="165" fontId="37" fillId="0" borderId="55" xfId="1" applyNumberFormat="1" applyFont="1" applyFill="1" applyBorder="1" applyAlignment="1" applyProtection="1">
      <alignment horizontal="center" vertical="center" wrapText="1"/>
    </xf>
    <xf numFmtId="165" fontId="37" fillId="4" borderId="39" xfId="4" applyNumberFormat="1" applyFont="1" applyFill="1" applyBorder="1" applyAlignment="1" applyProtection="1">
      <alignment horizontal="left" vertical="center" wrapText="1"/>
    </xf>
    <xf numFmtId="0" fontId="41" fillId="0" borderId="34" xfId="23" applyFont="1" applyBorder="1" applyAlignment="1" applyProtection="1">
      <alignment horizontal="center" vertical="center" wrapText="1"/>
    </xf>
    <xf numFmtId="0" fontId="41" fillId="0" borderId="34" xfId="23" applyFont="1" applyFill="1" applyBorder="1" applyAlignment="1" applyProtection="1">
      <alignment horizontal="center" vertical="center" wrapText="1"/>
    </xf>
    <xf numFmtId="0" fontId="41" fillId="0" borderId="34" xfId="23" applyFont="1" applyFill="1" applyBorder="1" applyAlignment="1" applyProtection="1">
      <alignment horizontal="left" vertical="center" wrapText="1"/>
    </xf>
    <xf numFmtId="0" fontId="37" fillId="0" borderId="34" xfId="16" applyFont="1" applyBorder="1" applyAlignment="1" applyProtection="1">
      <alignment horizontal="left" vertical="center" wrapText="1"/>
    </xf>
    <xf numFmtId="0" fontId="37" fillId="0" borderId="34" xfId="16" applyFont="1" applyFill="1" applyBorder="1" applyAlignment="1" applyProtection="1">
      <alignment horizontal="left" vertical="center" wrapText="1"/>
    </xf>
    <xf numFmtId="0" fontId="37" fillId="0" borderId="34" xfId="23" applyFont="1" applyFill="1" applyBorder="1" applyAlignment="1" applyProtection="1">
      <alignment horizontal="left" vertical="center" wrapText="1"/>
    </xf>
    <xf numFmtId="0" fontId="41" fillId="0" borderId="34" xfId="23" applyFont="1" applyFill="1" applyBorder="1" applyAlignment="1" applyProtection="1">
      <alignment wrapText="1"/>
    </xf>
    <xf numFmtId="169" fontId="36" fillId="11" borderId="35" xfId="4" applyNumberFormat="1" applyFont="1" applyFill="1" applyBorder="1" applyAlignment="1">
      <alignment horizontal="center" vertical="center" wrapText="1"/>
    </xf>
    <xf numFmtId="169" fontId="36" fillId="5" borderId="35" xfId="4" applyNumberFormat="1" applyFont="1" applyFill="1" applyBorder="1" applyAlignment="1">
      <alignment horizontal="center" vertical="center" wrapText="1"/>
    </xf>
    <xf numFmtId="3" fontId="35" fillId="11" borderId="35" xfId="4" applyNumberFormat="1" applyFont="1" applyFill="1" applyBorder="1" applyAlignment="1">
      <alignment horizontal="center" vertical="center" wrapText="1"/>
    </xf>
    <xf numFmtId="3" fontId="35" fillId="5" borderId="35" xfId="4" applyNumberFormat="1" applyFont="1" applyFill="1" applyBorder="1" applyAlignment="1">
      <alignment horizontal="center" vertical="center" wrapText="1"/>
    </xf>
    <xf numFmtId="3" fontId="36" fillId="11" borderId="35" xfId="4" applyNumberFormat="1" applyFont="1" applyFill="1" applyBorder="1" applyAlignment="1">
      <alignment horizontal="center" vertical="center" wrapText="1"/>
    </xf>
    <xf numFmtId="3" fontId="36" fillId="5" borderId="35" xfId="4" applyNumberFormat="1" applyFont="1" applyFill="1" applyBorder="1" applyAlignment="1">
      <alignment horizontal="center" vertical="center" wrapText="1"/>
    </xf>
    <xf numFmtId="9" fontId="0" fillId="0" borderId="0" xfId="32" applyFont="1" applyAlignment="1">
      <alignment vertical="center"/>
    </xf>
    <xf numFmtId="0" fontId="32" fillId="4" borderId="52" xfId="23" applyFont="1" applyFill="1" applyBorder="1" applyAlignment="1" applyProtection="1">
      <alignment horizontal="center" vertical="center" wrapText="1"/>
    </xf>
    <xf numFmtId="165" fontId="37" fillId="0" borderId="34" xfId="33" applyNumberFormat="1" applyFont="1" applyFill="1" applyBorder="1" applyAlignment="1" applyProtection="1">
      <alignment horizontal="center" vertical="center" wrapText="1"/>
    </xf>
    <xf numFmtId="165" fontId="37" fillId="0" borderId="31" xfId="33" applyNumberFormat="1" applyFont="1" applyFill="1" applyBorder="1" applyAlignment="1" applyProtection="1">
      <alignment horizontal="center" vertical="center" wrapText="1"/>
    </xf>
    <xf numFmtId="165" fontId="37" fillId="0" borderId="39" xfId="1" applyNumberFormat="1" applyFont="1" applyFill="1" applyBorder="1" applyAlignment="1" applyProtection="1">
      <alignment horizontal="center" vertical="center" wrapText="1"/>
    </xf>
    <xf numFmtId="165" fontId="37" fillId="0" borderId="39" xfId="4" applyNumberFormat="1" applyFont="1" applyFill="1" applyBorder="1" applyAlignment="1" applyProtection="1">
      <alignment horizontal="center" vertical="center" wrapText="1"/>
    </xf>
    <xf numFmtId="165" fontId="37" fillId="0" borderId="34" xfId="33" applyNumberFormat="1" applyFont="1" applyFill="1" applyBorder="1" applyAlignment="1" applyProtection="1">
      <alignment horizontal="center" vertical="center" wrapText="1"/>
    </xf>
    <xf numFmtId="165" fontId="37" fillId="0" borderId="39" xfId="1" applyNumberFormat="1" applyFont="1" applyFill="1" applyBorder="1" applyAlignment="1" applyProtection="1">
      <alignment horizontal="center" vertical="center" wrapText="1"/>
    </xf>
    <xf numFmtId="0" fontId="6" fillId="0" borderId="0" xfId="4" applyAlignment="1">
      <alignment vertical="center" wrapText="1"/>
    </xf>
    <xf numFmtId="0" fontId="2" fillId="0" borderId="0" xfId="1" applyAlignment="1">
      <alignment vertical="center"/>
    </xf>
    <xf numFmtId="0" fontId="2" fillId="0" borderId="0" xfId="1" applyAlignment="1">
      <alignment horizontal="center" vertical="center"/>
    </xf>
    <xf numFmtId="165" fontId="37" fillId="0" borderId="39" xfId="1" applyNumberFormat="1" applyFont="1" applyFill="1" applyBorder="1" applyAlignment="1" applyProtection="1">
      <alignment horizontal="center" vertical="center" wrapText="1"/>
    </xf>
    <xf numFmtId="165" fontId="37" fillId="0" borderId="34" xfId="33" applyNumberFormat="1" applyFont="1" applyBorder="1" applyAlignment="1" applyProtection="1">
      <alignment horizontal="center" vertical="center" wrapText="1"/>
    </xf>
    <xf numFmtId="0" fontId="2" fillId="0" borderId="0" xfId="2" applyBorder="1"/>
    <xf numFmtId="165" fontId="37" fillId="0" borderId="74" xfId="1" applyNumberFormat="1" applyFont="1" applyFill="1" applyBorder="1" applyAlignment="1" applyProtection="1">
      <alignment horizontal="center" vertical="center" wrapText="1"/>
    </xf>
    <xf numFmtId="3" fontId="38" fillId="0" borderId="35" xfId="0" applyNumberFormat="1" applyFont="1" applyBorder="1" applyAlignment="1" applyProtection="1">
      <alignment horizontal="center" vertical="center" wrapText="1"/>
    </xf>
    <xf numFmtId="3" fontId="38" fillId="0" borderId="39" xfId="0" applyNumberFormat="1" applyFont="1" applyBorder="1" applyAlignment="1" applyProtection="1">
      <alignment horizontal="center" vertical="center" wrapText="1"/>
    </xf>
    <xf numFmtId="0" fontId="5" fillId="0" borderId="0" xfId="1" applyFont="1" applyBorder="1" applyAlignment="1">
      <alignment horizontal="center" vertical="center"/>
    </xf>
    <xf numFmtId="0" fontId="14" fillId="0" borderId="68" xfId="2" applyFont="1" applyBorder="1" applyAlignment="1">
      <alignment horizontal="center" vertical="center" wrapText="1"/>
    </xf>
    <xf numFmtId="0" fontId="14" fillId="0" borderId="61" xfId="2" applyFont="1" applyBorder="1" applyAlignment="1">
      <alignment horizontal="center" vertical="center" wrapText="1"/>
    </xf>
    <xf numFmtId="0" fontId="14" fillId="0" borderId="69" xfId="2" applyFont="1" applyBorder="1" applyAlignment="1">
      <alignment horizontal="center" vertical="center" wrapText="1"/>
    </xf>
    <xf numFmtId="0" fontId="14" fillId="0" borderId="70"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71"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73" xfId="2" applyFont="1" applyBorder="1" applyAlignment="1">
      <alignment horizontal="center" vertical="center" wrapText="1"/>
    </xf>
    <xf numFmtId="0" fontId="9" fillId="0" borderId="21" xfId="2" applyFont="1" applyBorder="1" applyAlignment="1">
      <alignment horizontal="center" vertical="top" wrapText="1"/>
    </xf>
    <xf numFmtId="0" fontId="16" fillId="2" borderId="21" xfId="2" applyFont="1" applyFill="1" applyBorder="1" applyAlignment="1">
      <alignment horizontal="left" vertical="center" wrapText="1"/>
    </xf>
    <xf numFmtId="0" fontId="16" fillId="3" borderId="21" xfId="2" applyFont="1" applyFill="1" applyBorder="1" applyAlignment="1">
      <alignment vertical="center" wrapText="1"/>
    </xf>
    <xf numFmtId="0" fontId="14" fillId="0" borderId="62"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6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1" xfId="2" applyFont="1" applyFill="1" applyBorder="1" applyAlignment="1">
      <alignment horizontal="center" vertical="center" wrapText="1"/>
    </xf>
    <xf numFmtId="0" fontId="14" fillId="0" borderId="62"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63" xfId="2" applyFont="1" applyFill="1" applyBorder="1" applyAlignment="1">
      <alignment horizontal="center" vertical="center" wrapText="1"/>
    </xf>
    <xf numFmtId="0" fontId="14" fillId="0" borderId="66" xfId="2" applyFont="1" applyFill="1" applyBorder="1" applyAlignment="1">
      <alignment horizontal="center" vertical="center" wrapText="1"/>
    </xf>
    <xf numFmtId="0" fontId="14" fillId="0" borderId="67" xfId="2" applyFont="1" applyFill="1" applyBorder="1" applyAlignment="1">
      <alignment horizontal="center"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14" fillId="0" borderId="4" xfId="2" applyFont="1" applyBorder="1" applyAlignment="1">
      <alignment horizontal="center" vertical="top" wrapText="1"/>
    </xf>
    <xf numFmtId="0" fontId="14" fillId="0" borderId="12" xfId="2" applyFont="1" applyBorder="1" applyAlignment="1">
      <alignment horizontal="center" vertical="top"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56" xfId="2" applyFont="1" applyBorder="1" applyAlignment="1">
      <alignment horizontal="center" vertical="top" wrapText="1"/>
    </xf>
    <xf numFmtId="0" fontId="14" fillId="0" borderId="8" xfId="2" applyFont="1" applyBorder="1" applyAlignment="1">
      <alignment horizontal="center" vertical="top" wrapText="1"/>
    </xf>
    <xf numFmtId="0" fontId="14" fillId="0" borderId="8" xfId="2" applyFont="1" applyFill="1" applyBorder="1" applyAlignment="1">
      <alignment horizontal="center" vertical="center"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Fill="1" applyBorder="1" applyAlignment="1">
      <alignment horizontal="center" vertical="top" wrapText="1"/>
    </xf>
    <xf numFmtId="0" fontId="14" fillId="0" borderId="0" xfId="2" applyFont="1" applyBorder="1" applyAlignment="1">
      <alignment horizontal="center" vertical="top" wrapText="1"/>
    </xf>
    <xf numFmtId="0" fontId="9" fillId="0" borderId="0" xfId="2" applyFont="1" applyBorder="1" applyAlignment="1">
      <alignment horizontal="center" vertical="center"/>
    </xf>
    <xf numFmtId="0" fontId="10" fillId="0" borderId="0" xfId="2" applyFont="1" applyBorder="1" applyAlignment="1">
      <alignment horizontal="center" vertical="center"/>
    </xf>
    <xf numFmtId="165" fontId="12" fillId="0" borderId="1" xfId="7" applyNumberFormat="1" applyFont="1" applyFill="1" applyBorder="1" applyAlignment="1" applyProtection="1">
      <alignment horizontal="center" vertical="center"/>
    </xf>
    <xf numFmtId="0" fontId="13" fillId="0" borderId="2" xfId="2" applyFont="1" applyBorder="1" applyAlignment="1">
      <alignment horizontal="center" vertical="center" wrapText="1"/>
    </xf>
    <xf numFmtId="0" fontId="14" fillId="0" borderId="3" xfId="2" applyFont="1" applyBorder="1" applyAlignment="1">
      <alignment horizontal="center" vertical="top" wrapText="1"/>
    </xf>
    <xf numFmtId="0" fontId="43" fillId="0" borderId="0" xfId="4" applyFont="1" applyAlignment="1">
      <alignment horizontal="left" vertical="center" wrapText="1"/>
    </xf>
    <xf numFmtId="0" fontId="31" fillId="6" borderId="34" xfId="4" applyFont="1" applyFill="1" applyBorder="1" applyAlignment="1">
      <alignment horizontal="center" vertical="center" wrapText="1"/>
    </xf>
    <xf numFmtId="0" fontId="30" fillId="8" borderId="22" xfId="4" applyFont="1" applyFill="1" applyBorder="1" applyAlignment="1">
      <alignment horizontal="center" vertical="center" wrapText="1"/>
    </xf>
    <xf numFmtId="0" fontId="30" fillId="8" borderId="23" xfId="4" applyFont="1" applyFill="1" applyBorder="1" applyAlignment="1">
      <alignment horizontal="center" vertical="center" wrapText="1"/>
    </xf>
    <xf numFmtId="0" fontId="30" fillId="8" borderId="24" xfId="4" applyFont="1" applyFill="1" applyBorder="1" applyAlignment="1">
      <alignment horizontal="center" vertical="center" wrapText="1"/>
    </xf>
    <xf numFmtId="0" fontId="30" fillId="4" borderId="29" xfId="4" applyFont="1" applyFill="1" applyBorder="1" applyAlignment="1">
      <alignment horizontal="left" vertical="center" wrapText="1"/>
    </xf>
    <xf numFmtId="0" fontId="30" fillId="4" borderId="30" xfId="4" applyFont="1" applyFill="1" applyBorder="1" applyAlignment="1">
      <alignment horizontal="left" vertical="center" wrapText="1"/>
    </xf>
    <xf numFmtId="0" fontId="30" fillId="4" borderId="32" xfId="4" applyFont="1" applyFill="1" applyBorder="1" applyAlignment="1">
      <alignment horizontal="left" vertical="center" wrapText="1"/>
    </xf>
    <xf numFmtId="0" fontId="30" fillId="4" borderId="33" xfId="4" applyFont="1" applyFill="1" applyBorder="1" applyAlignment="1">
      <alignment horizontal="left" vertical="center" wrapText="1"/>
    </xf>
    <xf numFmtId="0" fontId="29" fillId="7" borderId="22" xfId="0" applyFont="1" applyFill="1" applyBorder="1" applyAlignment="1">
      <alignment horizontal="center" vertical="center" wrapText="1"/>
    </xf>
    <xf numFmtId="0" fontId="29" fillId="7" borderId="23"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8" fillId="6" borderId="22" xfId="0" applyFont="1" applyFill="1" applyBorder="1" applyAlignment="1">
      <alignment horizontal="center"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165" fontId="41" fillId="0" borderId="39" xfId="4" applyNumberFormat="1" applyFont="1" applyFill="1" applyBorder="1" applyAlignment="1" applyProtection="1">
      <alignment horizontal="center" vertical="center" wrapText="1"/>
    </xf>
    <xf numFmtId="0" fontId="28" fillId="6" borderId="23" xfId="4" applyFont="1" applyFill="1" applyBorder="1" applyAlignment="1">
      <alignment horizontal="center" vertical="center"/>
    </xf>
    <xf numFmtId="0" fontId="28" fillId="6" borderId="24" xfId="4" applyFont="1" applyFill="1" applyBorder="1" applyAlignment="1">
      <alignment horizontal="center" vertical="center"/>
    </xf>
    <xf numFmtId="0" fontId="30" fillId="4" borderId="36" xfId="4" applyFont="1" applyFill="1" applyBorder="1" applyAlignment="1">
      <alignment horizontal="left" vertical="center"/>
    </xf>
    <xf numFmtId="0" fontId="30" fillId="4" borderId="37" xfId="4" applyFont="1" applyFill="1" applyBorder="1" applyAlignment="1">
      <alignment horizontal="left" vertical="center"/>
    </xf>
    <xf numFmtId="0" fontId="30" fillId="4" borderId="38" xfId="4" applyFont="1" applyFill="1" applyBorder="1" applyAlignment="1">
      <alignment horizontal="left" vertical="center"/>
    </xf>
    <xf numFmtId="0" fontId="30" fillId="4" borderId="28" xfId="4" applyFont="1" applyFill="1" applyBorder="1" applyAlignment="1">
      <alignment horizontal="left" vertical="center" wrapText="1"/>
    </xf>
    <xf numFmtId="0" fontId="30" fillId="4" borderId="25" xfId="4" applyFont="1" applyFill="1" applyBorder="1" applyAlignment="1">
      <alignment horizontal="left" vertical="center" wrapText="1"/>
    </xf>
    <xf numFmtId="0" fontId="30" fillId="4" borderId="26" xfId="4" applyFont="1" applyFill="1" applyBorder="1" applyAlignment="1">
      <alignment horizontal="left" vertical="center" wrapText="1"/>
    </xf>
    <xf numFmtId="0" fontId="30" fillId="4" borderId="27" xfId="4" applyFont="1" applyFill="1" applyBorder="1" applyAlignment="1">
      <alignment horizontal="left" vertical="center" wrapText="1"/>
    </xf>
    <xf numFmtId="0" fontId="32" fillId="0" borderId="42" xfId="4" quotePrefix="1" applyNumberFormat="1" applyFont="1" applyBorder="1" applyAlignment="1" applyProtection="1">
      <alignment horizontal="center" vertical="center" wrapText="1"/>
    </xf>
    <xf numFmtId="0" fontId="32" fillId="0" borderId="35" xfId="4" quotePrefix="1" applyNumberFormat="1" applyFont="1" applyBorder="1" applyAlignment="1" applyProtection="1">
      <alignment horizontal="center" vertical="center" wrapText="1"/>
    </xf>
    <xf numFmtId="0" fontId="32" fillId="0" borderId="42" xfId="4" quotePrefix="1" applyNumberFormat="1" applyFont="1" applyFill="1" applyBorder="1" applyAlignment="1" applyProtection="1">
      <alignment horizontal="left" vertical="center" wrapText="1"/>
    </xf>
    <xf numFmtId="0" fontId="32" fillId="0" borderId="35" xfId="4" quotePrefix="1" applyNumberFormat="1" applyFont="1" applyFill="1" applyBorder="1" applyAlignment="1" applyProtection="1">
      <alignment horizontal="left" vertical="center" wrapText="1"/>
    </xf>
    <xf numFmtId="0" fontId="32" fillId="0" borderId="42" xfId="4" applyNumberFormat="1" applyFont="1" applyBorder="1" applyAlignment="1" applyProtection="1">
      <alignment horizontal="center" vertical="center" wrapText="1"/>
    </xf>
    <xf numFmtId="0" fontId="32" fillId="0" borderId="35" xfId="4" applyNumberFormat="1" applyFont="1" applyBorder="1" applyAlignment="1" applyProtection="1">
      <alignment horizontal="center" vertical="center" wrapText="1"/>
    </xf>
    <xf numFmtId="0" fontId="32" fillId="0" borderId="48" xfId="4" quotePrefix="1" applyNumberFormat="1" applyFont="1" applyBorder="1" applyAlignment="1" applyProtection="1">
      <alignment horizontal="center" vertical="center" wrapText="1"/>
    </xf>
    <xf numFmtId="0" fontId="32" fillId="0" borderId="44" xfId="4" quotePrefix="1" applyNumberFormat="1" applyFont="1" applyBorder="1" applyAlignment="1" applyProtection="1">
      <alignment horizontal="center" vertical="center" wrapText="1"/>
    </xf>
    <xf numFmtId="0" fontId="32" fillId="0" borderId="49" xfId="4" quotePrefix="1" applyNumberFormat="1" applyFont="1" applyBorder="1" applyAlignment="1" applyProtection="1">
      <alignment horizontal="center" vertical="center" wrapText="1"/>
    </xf>
    <xf numFmtId="0" fontId="32" fillId="0" borderId="42" xfId="4" quotePrefix="1" applyNumberFormat="1" applyFont="1" applyFill="1" applyBorder="1" applyAlignment="1" applyProtection="1">
      <alignment horizontal="center" vertical="center" wrapText="1"/>
    </xf>
    <xf numFmtId="0" fontId="32" fillId="0" borderId="45" xfId="4" quotePrefix="1" applyNumberFormat="1" applyFont="1" applyFill="1" applyBorder="1" applyAlignment="1" applyProtection="1">
      <alignment horizontal="center" vertical="center" wrapText="1"/>
    </xf>
    <xf numFmtId="0" fontId="32" fillId="0" borderId="35" xfId="4" quotePrefix="1" applyNumberFormat="1" applyFont="1" applyFill="1" applyBorder="1" applyAlignment="1" applyProtection="1">
      <alignment horizontal="center" vertical="center" wrapText="1"/>
    </xf>
    <xf numFmtId="0" fontId="32" fillId="0" borderId="45" xfId="4" quotePrefix="1" applyNumberFormat="1" applyFont="1" applyFill="1" applyBorder="1" applyAlignment="1" applyProtection="1">
      <alignment horizontal="left" vertical="center" wrapText="1"/>
    </xf>
    <xf numFmtId="0" fontId="32" fillId="0" borderId="45" xfId="4" applyNumberFormat="1" applyFont="1" applyBorder="1" applyAlignment="1" applyProtection="1">
      <alignment horizontal="center" vertical="center" wrapText="1"/>
    </xf>
    <xf numFmtId="0" fontId="32" fillId="0" borderId="42" xfId="0" applyFont="1" applyFill="1" applyBorder="1" applyAlignment="1" applyProtection="1">
      <alignment horizontal="center" vertical="center" wrapText="1"/>
    </xf>
    <xf numFmtId="0" fontId="32" fillId="0" borderId="35" xfId="0" applyFont="1" applyFill="1" applyBorder="1" applyAlignment="1" applyProtection="1">
      <alignment horizontal="center" vertical="center" wrapText="1"/>
    </xf>
    <xf numFmtId="165" fontId="39" fillId="0" borderId="39" xfId="4" applyNumberFormat="1" applyFont="1" applyFill="1" applyBorder="1" applyAlignment="1" applyProtection="1">
      <alignment horizontal="center" vertical="center" wrapText="1"/>
    </xf>
    <xf numFmtId="0" fontId="32" fillId="0" borderId="42" xfId="4" applyNumberFormat="1" applyFont="1" applyFill="1" applyBorder="1" applyAlignment="1" applyProtection="1">
      <alignment horizontal="left" vertical="center" wrapText="1"/>
    </xf>
    <xf numFmtId="0" fontId="32" fillId="0" borderId="35" xfId="4" applyNumberFormat="1" applyFont="1" applyFill="1" applyBorder="1" applyAlignment="1" applyProtection="1">
      <alignment horizontal="left" vertical="center" wrapText="1"/>
    </xf>
    <xf numFmtId="0" fontId="32" fillId="0" borderId="45" xfId="4" applyNumberFormat="1" applyFont="1" applyFill="1" applyBorder="1" applyAlignment="1" applyProtection="1">
      <alignment horizontal="center" vertical="center" wrapText="1"/>
    </xf>
    <xf numFmtId="0" fontId="32" fillId="0" borderId="35" xfId="4" applyNumberFormat="1" applyFont="1" applyFill="1" applyBorder="1" applyAlignment="1" applyProtection="1">
      <alignment horizontal="center" vertical="center" wrapText="1"/>
    </xf>
    <xf numFmtId="0" fontId="32" fillId="0" borderId="45" xfId="0" applyFont="1" applyFill="1" applyBorder="1" applyAlignment="1" applyProtection="1">
      <alignment horizontal="center" vertical="center" wrapText="1"/>
    </xf>
    <xf numFmtId="165" fontId="39" fillId="0" borderId="44" xfId="4" applyNumberFormat="1" applyFont="1" applyFill="1" applyBorder="1" applyAlignment="1" applyProtection="1">
      <alignment horizontal="center" vertical="center" wrapText="1"/>
    </xf>
    <xf numFmtId="165" fontId="39" fillId="0" borderId="46" xfId="4" applyNumberFormat="1" applyFont="1" applyFill="1" applyBorder="1" applyAlignment="1" applyProtection="1">
      <alignment horizontal="center" vertical="center" wrapText="1"/>
    </xf>
    <xf numFmtId="165" fontId="37" fillId="0" borderId="47" xfId="1" applyNumberFormat="1" applyFont="1" applyFill="1" applyBorder="1" applyAlignment="1" applyProtection="1">
      <alignment horizontal="center" vertical="center" wrapText="1"/>
    </xf>
    <xf numFmtId="165" fontId="37" fillId="0" borderId="44" xfId="1" applyNumberFormat="1" applyFont="1" applyFill="1" applyBorder="1" applyAlignment="1" applyProtection="1">
      <alignment horizontal="center" vertical="center" wrapText="1"/>
    </xf>
    <xf numFmtId="165" fontId="37" fillId="0" borderId="46" xfId="1" applyNumberFormat="1" applyFont="1" applyFill="1" applyBorder="1" applyAlignment="1" applyProtection="1">
      <alignment horizontal="center" vertical="center" wrapText="1"/>
    </xf>
    <xf numFmtId="0" fontId="6" fillId="0" borderId="0" xfId="4" applyAlignment="1">
      <alignment horizontal="left" vertical="center" wrapText="1"/>
    </xf>
    <xf numFmtId="0" fontId="34" fillId="0" borderId="42" xfId="0" applyFont="1" applyFill="1" applyBorder="1" applyAlignment="1" applyProtection="1">
      <alignment horizontal="center" vertical="center" wrapText="1"/>
    </xf>
    <xf numFmtId="0" fontId="34" fillId="0" borderId="35" xfId="0" applyFont="1" applyFill="1" applyBorder="1" applyAlignment="1" applyProtection="1">
      <alignment horizontal="center" vertical="center" wrapText="1"/>
    </xf>
    <xf numFmtId="165" fontId="39" fillId="0" borderId="43" xfId="4" applyNumberFormat="1" applyFont="1" applyFill="1" applyBorder="1" applyAlignment="1" applyProtection="1">
      <alignment horizontal="center" vertical="center" wrapText="1"/>
    </xf>
    <xf numFmtId="165" fontId="39" fillId="0" borderId="40" xfId="4" applyNumberFormat="1" applyFont="1" applyFill="1" applyBorder="1" applyAlignment="1" applyProtection="1">
      <alignment horizontal="center" vertical="center" wrapText="1"/>
    </xf>
    <xf numFmtId="165" fontId="37" fillId="0" borderId="48" xfId="1" applyNumberFormat="1" applyFont="1" applyFill="1" applyBorder="1" applyAlignment="1" applyProtection="1">
      <alignment horizontal="center" vertical="center" wrapText="1"/>
    </xf>
    <xf numFmtId="165" fontId="37" fillId="0" borderId="39" xfId="1" applyNumberFormat="1" applyFont="1" applyFill="1" applyBorder="1" applyAlignment="1" applyProtection="1">
      <alignment horizontal="center" vertical="center" wrapText="1"/>
    </xf>
    <xf numFmtId="165" fontId="37" fillId="0" borderId="43" xfId="1" applyNumberFormat="1" applyFont="1" applyFill="1" applyBorder="1" applyAlignment="1" applyProtection="1">
      <alignment horizontal="center" vertical="center" wrapText="1"/>
    </xf>
    <xf numFmtId="165" fontId="37" fillId="0" borderId="40" xfId="1" applyNumberFormat="1" applyFont="1" applyFill="1" applyBorder="1" applyAlignment="1" applyProtection="1">
      <alignment horizontal="center" vertical="center" wrapText="1"/>
    </xf>
    <xf numFmtId="165" fontId="37" fillId="0" borderId="43" xfId="1" applyNumberFormat="1" applyFont="1" applyFill="1" applyBorder="1" applyAlignment="1" applyProtection="1">
      <alignment horizontal="left" vertical="center" wrapText="1"/>
    </xf>
    <xf numFmtId="165" fontId="37" fillId="0" borderId="41" xfId="1" applyNumberFormat="1" applyFont="1" applyFill="1" applyBorder="1" applyAlignment="1" applyProtection="1">
      <alignment horizontal="left" vertical="center" wrapText="1"/>
    </xf>
    <xf numFmtId="165" fontId="37" fillId="0" borderId="40" xfId="1" applyNumberFormat="1" applyFont="1" applyFill="1" applyBorder="1" applyAlignment="1" applyProtection="1">
      <alignment horizontal="left" vertical="center" wrapText="1"/>
    </xf>
    <xf numFmtId="165" fontId="37" fillId="0" borderId="41" xfId="1" applyNumberFormat="1" applyFont="1" applyFill="1" applyBorder="1" applyAlignment="1" applyProtection="1">
      <alignment horizontal="center" vertical="center" wrapText="1"/>
    </xf>
    <xf numFmtId="165" fontId="39" fillId="0" borderId="41" xfId="4" applyNumberFormat="1" applyFont="1" applyFill="1" applyBorder="1" applyAlignment="1" applyProtection="1">
      <alignment horizontal="center" vertical="center" wrapText="1"/>
    </xf>
    <xf numFmtId="165" fontId="37" fillId="0" borderId="54" xfId="1" applyNumberFormat="1" applyFont="1" applyFill="1" applyBorder="1" applyAlignment="1" applyProtection="1">
      <alignment horizontal="center" vertical="center" wrapText="1"/>
    </xf>
    <xf numFmtId="165" fontId="37" fillId="0" borderId="57" xfId="1" applyNumberFormat="1" applyFont="1" applyFill="1" applyBorder="1" applyAlignment="1" applyProtection="1">
      <alignment horizontal="center" vertical="center" wrapText="1"/>
    </xf>
    <xf numFmtId="165" fontId="37" fillId="0" borderId="58" xfId="1" applyNumberFormat="1" applyFont="1" applyFill="1" applyBorder="1" applyAlignment="1" applyProtection="1">
      <alignment horizontal="center" vertical="center" wrapText="1"/>
    </xf>
    <xf numFmtId="165" fontId="37" fillId="0" borderId="60" xfId="1" applyNumberFormat="1" applyFont="1" applyFill="1" applyBorder="1" applyAlignment="1" applyProtection="1">
      <alignment horizontal="center" vertical="center" wrapText="1"/>
    </xf>
    <xf numFmtId="165" fontId="37" fillId="0" borderId="59" xfId="1" applyNumberFormat="1" applyFont="1" applyFill="1" applyBorder="1" applyAlignment="1" applyProtection="1">
      <alignment horizontal="center" vertical="center" wrapText="1"/>
    </xf>
    <xf numFmtId="0" fontId="32" fillId="0" borderId="34" xfId="16" applyFont="1" applyBorder="1" applyAlignment="1" applyProtection="1">
      <alignment horizontal="center" vertical="center" wrapText="1"/>
    </xf>
    <xf numFmtId="165" fontId="37" fillId="0" borderId="39" xfId="4" applyNumberFormat="1" applyFont="1" applyFill="1" applyBorder="1" applyAlignment="1" applyProtection="1">
      <alignment horizontal="center" vertical="center" wrapText="1"/>
    </xf>
    <xf numFmtId="165" fontId="37" fillId="0" borderId="34" xfId="15" applyNumberFormat="1" applyFont="1" applyFill="1" applyBorder="1" applyAlignment="1" applyProtection="1">
      <alignment horizontal="center" vertical="center" wrapText="1"/>
    </xf>
    <xf numFmtId="165" fontId="37" fillId="0" borderId="34" xfId="33" applyNumberFormat="1" applyFont="1" applyBorder="1" applyAlignment="1" applyProtection="1">
      <alignment horizontal="center" vertical="center" wrapText="1"/>
    </xf>
    <xf numFmtId="165" fontId="37" fillId="0" borderId="42" xfId="33" applyNumberFormat="1" applyFont="1" applyFill="1" applyBorder="1" applyAlignment="1" applyProtection="1">
      <alignment horizontal="left" vertical="center" wrapText="1"/>
    </xf>
    <xf numFmtId="165" fontId="37" fillId="0" borderId="45" xfId="33" quotePrefix="1" applyNumberFormat="1" applyFont="1" applyFill="1" applyBorder="1" applyAlignment="1" applyProtection="1">
      <alignment horizontal="left" vertical="center" wrapText="1"/>
    </xf>
    <xf numFmtId="165" fontId="37" fillId="0" borderId="35" xfId="33" quotePrefix="1" applyNumberFormat="1" applyFont="1" applyFill="1" applyBorder="1" applyAlignment="1" applyProtection="1">
      <alignment horizontal="left" vertical="center" wrapText="1"/>
    </xf>
    <xf numFmtId="165" fontId="37" fillId="0" borderId="34" xfId="33" applyNumberFormat="1" applyFont="1" applyFill="1" applyBorder="1" applyAlignment="1" applyProtection="1">
      <alignment horizontal="center" vertical="center" wrapText="1"/>
    </xf>
    <xf numFmtId="165" fontId="37" fillId="0" borderId="34" xfId="33" applyNumberFormat="1" applyFont="1" applyBorder="1" applyAlignment="1" applyProtection="1">
      <alignment horizontal="left" vertical="center" wrapText="1"/>
    </xf>
    <xf numFmtId="165" fontId="37" fillId="10" borderId="34" xfId="33" applyNumberFormat="1" applyFont="1" applyFill="1" applyBorder="1" applyAlignment="1" applyProtection="1">
      <alignment horizontal="center" vertical="center" wrapText="1"/>
    </xf>
    <xf numFmtId="165" fontId="37" fillId="10" borderId="42" xfId="33" applyNumberFormat="1" applyFont="1" applyFill="1" applyBorder="1" applyAlignment="1" applyProtection="1">
      <alignment horizontal="center" vertical="center" wrapText="1"/>
    </xf>
    <xf numFmtId="165" fontId="37" fillId="10" borderId="45" xfId="33" applyNumberFormat="1" applyFont="1" applyFill="1" applyBorder="1" applyAlignment="1" applyProtection="1">
      <alignment horizontal="center" vertical="center" wrapText="1"/>
    </xf>
    <xf numFmtId="165" fontId="37" fillId="10" borderId="35" xfId="33" applyNumberFormat="1" applyFont="1" applyFill="1" applyBorder="1" applyAlignment="1" applyProtection="1">
      <alignment horizontal="center" vertical="center" wrapText="1"/>
    </xf>
    <xf numFmtId="165" fontId="37" fillId="0" borderId="42" xfId="33" applyNumberFormat="1" applyFont="1" applyBorder="1" applyAlignment="1" applyProtection="1">
      <alignment horizontal="center" vertical="center" wrapText="1"/>
    </xf>
    <xf numFmtId="165" fontId="37" fillId="0" borderId="45" xfId="33" applyNumberFormat="1" applyFont="1" applyBorder="1" applyAlignment="1" applyProtection="1">
      <alignment horizontal="center" vertical="center" wrapText="1"/>
    </xf>
    <xf numFmtId="165" fontId="37" fillId="0" borderId="42" xfId="33" quotePrefix="1" applyNumberFormat="1" applyFont="1" applyBorder="1" applyAlignment="1" applyProtection="1">
      <alignment horizontal="center" vertical="center" wrapText="1"/>
    </xf>
    <xf numFmtId="165" fontId="37" fillId="0" borderId="45" xfId="33" quotePrefix="1" applyNumberFormat="1" applyFont="1" applyBorder="1" applyAlignment="1" applyProtection="1">
      <alignment horizontal="center" vertical="center" wrapText="1"/>
    </xf>
    <xf numFmtId="165" fontId="37" fillId="0" borderId="35" xfId="33" quotePrefix="1" applyNumberFormat="1" applyFont="1" applyBorder="1" applyAlignment="1" applyProtection="1">
      <alignment horizontal="center" vertical="center" wrapText="1"/>
    </xf>
    <xf numFmtId="0" fontId="32" fillId="0" borderId="42" xfId="23" applyFont="1" applyFill="1" applyBorder="1" applyAlignment="1" applyProtection="1">
      <alignment horizontal="center" vertical="center" wrapText="1"/>
    </xf>
    <xf numFmtId="0" fontId="32" fillId="0" borderId="45" xfId="23" applyFont="1" applyFill="1" applyBorder="1" applyAlignment="1" applyProtection="1">
      <alignment horizontal="center" vertical="center" wrapText="1"/>
    </xf>
    <xf numFmtId="0" fontId="32" fillId="0" borderId="35" xfId="23" applyFont="1" applyFill="1" applyBorder="1" applyAlignment="1" applyProtection="1">
      <alignment horizontal="center" vertical="center" wrapText="1"/>
    </xf>
    <xf numFmtId="165" fontId="37" fillId="4" borderId="43" xfId="4" applyNumberFormat="1" applyFont="1" applyFill="1" applyBorder="1" applyAlignment="1" applyProtection="1">
      <alignment horizontal="left" vertical="center" wrapText="1"/>
    </xf>
    <xf numFmtId="165" fontId="37" fillId="4" borderId="40" xfId="4" applyNumberFormat="1" applyFont="1" applyFill="1" applyBorder="1" applyAlignment="1" applyProtection="1">
      <alignment horizontal="left" vertical="center" wrapText="1"/>
    </xf>
    <xf numFmtId="0" fontId="0" fillId="0" borderId="39" xfId="0" applyFill="1" applyBorder="1" applyProtection="1"/>
    <xf numFmtId="165" fontId="37" fillId="4" borderId="39" xfId="1" applyNumberFormat="1" applyFont="1" applyFill="1" applyBorder="1" applyAlignment="1" applyProtection="1">
      <alignment horizontal="left" vertical="center" wrapText="1"/>
    </xf>
    <xf numFmtId="0" fontId="13" fillId="0" borderId="75" xfId="2" applyFont="1" applyBorder="1" applyAlignment="1">
      <alignment horizontal="center" vertical="center" wrapText="1"/>
    </xf>
    <xf numFmtId="0" fontId="13" fillId="0" borderId="76" xfId="2" applyFont="1" applyBorder="1" applyAlignment="1">
      <alignment horizontal="center" vertical="center" wrapText="1"/>
    </xf>
    <xf numFmtId="0" fontId="13" fillId="0" borderId="77" xfId="2" applyFont="1" applyBorder="1" applyAlignment="1">
      <alignment horizontal="center" vertical="center" wrapText="1"/>
    </xf>
    <xf numFmtId="0" fontId="14" fillId="0" borderId="78" xfId="2" applyFont="1" applyBorder="1" applyAlignment="1">
      <alignment horizontal="center" vertical="top" wrapText="1"/>
    </xf>
    <xf numFmtId="0" fontId="14" fillId="0" borderId="79" xfId="2" applyFont="1" applyBorder="1" applyAlignment="1">
      <alignment horizontal="center" vertical="top" wrapText="1"/>
    </xf>
    <xf numFmtId="0" fontId="14" fillId="0" borderId="80" xfId="2" applyFont="1" applyBorder="1" applyAlignment="1">
      <alignment horizontal="center" vertical="top" wrapText="1"/>
    </xf>
    <xf numFmtId="0" fontId="13" fillId="0" borderId="81" xfId="2" applyFont="1" applyBorder="1" applyAlignment="1">
      <alignment horizontal="center" vertical="center" wrapText="1"/>
    </xf>
    <xf numFmtId="0" fontId="14" fillId="0" borderId="82" xfId="2" applyFont="1" applyBorder="1" applyAlignment="1">
      <alignment horizontal="center" vertical="center" wrapText="1"/>
    </xf>
    <xf numFmtId="0" fontId="14" fillId="0" borderId="83" xfId="2" applyFont="1" applyBorder="1" applyAlignment="1">
      <alignment horizontal="center" vertical="center" wrapText="1"/>
    </xf>
    <xf numFmtId="0" fontId="14" fillId="0" borderId="84" xfId="2" applyFont="1" applyBorder="1" applyAlignment="1">
      <alignment horizontal="center" vertical="center" wrapText="1"/>
    </xf>
    <xf numFmtId="0" fontId="14" fillId="0" borderId="82" xfId="2" applyFont="1" applyFill="1" applyBorder="1" applyAlignment="1">
      <alignment horizontal="center" vertical="center" wrapText="1"/>
    </xf>
    <xf numFmtId="0" fontId="14" fillId="0" borderId="83" xfId="2" applyFont="1" applyFill="1" applyBorder="1" applyAlignment="1">
      <alignment horizontal="center" vertical="center" wrapText="1"/>
    </xf>
    <xf numFmtId="0" fontId="14" fillId="0" borderId="85" xfId="2" applyFont="1" applyFill="1" applyBorder="1" applyAlignment="1">
      <alignment horizontal="center" vertical="center" wrapText="1"/>
    </xf>
    <xf numFmtId="0" fontId="9" fillId="0" borderId="86" xfId="2" applyFont="1" applyBorder="1" applyAlignment="1">
      <alignment horizontal="center" vertical="top" wrapText="1"/>
    </xf>
    <xf numFmtId="0" fontId="16" fillId="2" borderId="86" xfId="2" applyFont="1" applyFill="1" applyBorder="1" applyAlignment="1">
      <alignment horizontal="left" vertical="center" wrapText="1"/>
    </xf>
    <xf numFmtId="165" fontId="37" fillId="0" borderId="35" xfId="33" applyNumberFormat="1" applyFont="1" applyBorder="1" applyAlignment="1" applyProtection="1">
      <alignment horizontal="center" vertical="center" wrapText="1"/>
    </xf>
  </cellXfs>
  <cellStyles count="54">
    <cellStyle name="Excel Built-in Hyperlink" xfId="8"/>
    <cellStyle name="Excel Built-in Normal" xfId="1"/>
    <cellStyle name="Excel Built-in Normal 2" xfId="2"/>
    <cellStyle name="Excel Built-in Normal 2 2" xfId="35"/>
    <cellStyle name="Excel Built-in Normal 3" xfId="7"/>
    <cellStyle name="Excel Built-in Normal 3 2" xfId="34"/>
    <cellStyle name="Excel Built-in Normal 4" xfId="9"/>
    <cellStyle name="Excel Built-in Normal 5" xfId="10"/>
    <cellStyle name="Excel Built-in Normal 6" xfId="11"/>
    <cellStyle name="Excel Built-in Normal 7" xfId="36"/>
    <cellStyle name="Excel Built-in Normal 7 2" xfId="37"/>
    <cellStyle name="Heading" xfId="12"/>
    <cellStyle name="Heading 3" xfId="13"/>
    <cellStyle name="Heading 4" xfId="38"/>
    <cellStyle name="Heading1" xfId="14"/>
    <cellStyle name="Millares 2" xfId="3"/>
    <cellStyle name="Normal" xfId="0" builtinId="0"/>
    <cellStyle name="Normal 2" xfId="4"/>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3" xfId="20"/>
    <cellStyle name="Normal 4" xfId="21"/>
    <cellStyle name="Normal 5" xfId="22"/>
    <cellStyle name="Normal 6" xfId="23"/>
    <cellStyle name="Normal 6 2" xfId="41"/>
    <cellStyle name="Normal 7" xfId="6"/>
    <cellStyle name="Normal 7 2" xfId="24"/>
    <cellStyle name="Porcentaje" xfId="32" builtinId="5"/>
    <cellStyle name="Porcentaje 2" xfId="42"/>
    <cellStyle name="Porcentaje 3" xfId="43"/>
    <cellStyle name="Porcentaje 4" xfId="44"/>
    <cellStyle name="Porcentaje 5" xfId="4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0"/>
  <tableStyles count="0" defaultTableStyle="TableStyleMedium9" defaultPivotStyle="PivotStyleLight16"/>
  <colors>
    <mruColors>
      <color rgb="FF000000"/>
      <color rgb="FF70AD47"/>
      <color rgb="FFA9D18D"/>
      <color rgb="FF385723"/>
      <color rgb="FF2C3616"/>
      <color rgb="FF2B3616"/>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6</xdr:col>
      <xdr:colOff>628650</xdr:colOff>
      <xdr:row>1</xdr:row>
      <xdr:rowOff>0</xdr:rowOff>
    </xdr:from>
    <xdr:to>
      <xdr:col>9</xdr:col>
      <xdr:colOff>390525</xdr:colOff>
      <xdr:row>66</xdr:row>
      <xdr:rowOff>171450</xdr:rowOff>
    </xdr:to>
    <xdr:sp macro="" textlink="">
      <xdr:nvSpPr>
        <xdr:cNvPr id="12" name="Rectángulo 1">
          <a:extLst>
            <a:ext uri="{FF2B5EF4-FFF2-40B4-BE49-F238E27FC236}">
              <a16:creationId xmlns=""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0</xdr:col>
      <xdr:colOff>31750</xdr:colOff>
      <xdr:row>28</xdr:row>
      <xdr:rowOff>79374</xdr:rowOff>
    </xdr:from>
    <xdr:to>
      <xdr:col>8</xdr:col>
      <xdr:colOff>231775</xdr:colOff>
      <xdr:row>38</xdr:row>
      <xdr:rowOff>63499</xdr:rowOff>
    </xdr:to>
    <xdr:sp macro="" textlink="">
      <xdr:nvSpPr>
        <xdr:cNvPr id="13" name="Rectángulo 2">
          <a:extLst>
            <a:ext uri="{FF2B5EF4-FFF2-40B4-BE49-F238E27FC236}">
              <a16:creationId xmlns=""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7</xdr:col>
      <xdr:colOff>226218</xdr:colOff>
      <xdr:row>8</xdr:row>
      <xdr:rowOff>38100</xdr:rowOff>
    </xdr:from>
    <xdr:to>
      <xdr:col>9</xdr:col>
      <xdr:colOff>130968</xdr:colOff>
      <xdr:row>11</xdr:row>
      <xdr:rowOff>57150</xdr:rowOff>
    </xdr:to>
    <xdr:sp macro="" textlink="" fLocksText="0">
      <xdr:nvSpPr>
        <xdr:cNvPr id="14" name="CuadroTexto 3">
          <a:extLst>
            <a:ext uri="{FF2B5EF4-FFF2-40B4-BE49-F238E27FC236}">
              <a16:creationId xmlns=""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2021</a:t>
          </a:r>
        </a:p>
      </xdr:txBody>
    </xdr:sp>
    <xdr:clientData/>
  </xdr:twoCellAnchor>
  <xdr:twoCellAnchor>
    <xdr:from>
      <xdr:col>1</xdr:col>
      <xdr:colOff>1012833</xdr:colOff>
      <xdr:row>2</xdr:row>
      <xdr:rowOff>9525</xdr:rowOff>
    </xdr:from>
    <xdr:to>
      <xdr:col>4</xdr:col>
      <xdr:colOff>427046</xdr:colOff>
      <xdr:row>11</xdr:row>
      <xdr:rowOff>312964</xdr:rowOff>
    </xdr:to>
    <xdr:pic>
      <xdr:nvPicPr>
        <xdr:cNvPr id="15" name="Picture 2">
          <a:extLst>
            <a:ext uri="{FF2B5EF4-FFF2-40B4-BE49-F238E27FC236}">
              <a16:creationId xmlns=""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b="15402"/>
        <a:stretch>
          <a:fillRect/>
        </a:stretch>
      </xdr:blipFill>
      <xdr:spPr bwMode="auto">
        <a:xfrm>
          <a:off x="1774833" y="390525"/>
          <a:ext cx="2312534" cy="2017939"/>
        </a:xfrm>
        <a:prstGeom prst="rect">
          <a:avLst/>
        </a:prstGeom>
        <a:noFill/>
        <a:ln w="9525">
          <a:noFill/>
          <a:miter lim="800000"/>
          <a:headEnd/>
          <a:tailEnd/>
        </a:ln>
      </xdr:spPr>
    </xdr:pic>
    <xdr:clientData/>
  </xdr:twoCellAnchor>
  <xdr:twoCellAnchor>
    <xdr:from>
      <xdr:col>0</xdr:col>
      <xdr:colOff>95250</xdr:colOff>
      <xdr:row>29</xdr:row>
      <xdr:rowOff>50800</xdr:rowOff>
    </xdr:from>
    <xdr:to>
      <xdr:col>8</xdr:col>
      <xdr:colOff>114300</xdr:colOff>
      <xdr:row>37</xdr:row>
      <xdr:rowOff>127000</xdr:rowOff>
    </xdr:to>
    <xdr:sp macro="" textlink="" fLocksText="0">
      <xdr:nvSpPr>
        <xdr:cNvPr id="16" name="CuadroTexto 5">
          <a:extLst>
            <a:ext uri="{FF2B5EF4-FFF2-40B4-BE49-F238E27FC236}">
              <a16:creationId xmlns=""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4to Trimestre (POA) 2021</a:t>
          </a:r>
        </a:p>
      </xdr:txBody>
    </xdr:sp>
    <xdr:clientData/>
  </xdr:twoCellAnchor>
  <mc:AlternateContent xmlns:mc="http://schemas.openxmlformats.org/markup-compatibility/2006">
    <mc:Choice xmlns:a14="http://schemas.microsoft.com/office/drawing/2010/main" Requires="a14">
      <xdr:twoCellAnchor>
        <xdr:from>
          <xdr:col>10</xdr:col>
          <xdr:colOff>38100</xdr:colOff>
          <xdr:row>0</xdr:row>
          <xdr:rowOff>123825</xdr:rowOff>
        </xdr:from>
        <xdr:to>
          <xdr:col>12</xdr:col>
          <xdr:colOff>47625</xdr:colOff>
          <xdr:row>2</xdr:row>
          <xdr:rowOff>161925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DO" sz="1100" b="0" i="0" u="none" strike="noStrike" baseline="0">
                  <a:solidFill>
                    <a:srgbClr val="000000"/>
                  </a:solidFill>
                  <a:latin typeface="Calibri"/>
                  <a:cs typeface="Calibri"/>
                </a:rPr>
                <a:t>Limpiar Documento</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A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2222500</xdr:colOff>
      <xdr:row>0</xdr:row>
      <xdr:rowOff>682625</xdr:rowOff>
    </xdr:from>
    <xdr:to>
      <xdr:col>8</xdr:col>
      <xdr:colOff>17375</xdr:colOff>
      <xdr:row>4</xdr:row>
      <xdr:rowOff>492125</xdr:rowOff>
    </xdr:to>
    <xdr:pic>
      <xdr:nvPicPr>
        <xdr:cNvPr id="4" name="Picture 2">
          <a:extLst>
            <a:ext uri="{FF2B5EF4-FFF2-40B4-BE49-F238E27FC236}">
              <a16:creationId xmlns=""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1001375" y="682625"/>
          <a:ext cx="3240000" cy="2746375"/>
        </a:xfrm>
        <a:prstGeom prst="rect">
          <a:avLst/>
        </a:prstGeom>
        <a:noFill/>
        <a:ln w="1">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B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2762250</xdr:colOff>
      <xdr:row>0</xdr:row>
      <xdr:rowOff>682625</xdr:rowOff>
    </xdr:from>
    <xdr:to>
      <xdr:col>8</xdr:col>
      <xdr:colOff>731750</xdr:colOff>
      <xdr:row>4</xdr:row>
      <xdr:rowOff>492125</xdr:rowOff>
    </xdr:to>
    <xdr:pic>
      <xdr:nvPicPr>
        <xdr:cNvPr id="4" name="Picture 2">
          <a:extLst>
            <a:ext uri="{FF2B5EF4-FFF2-40B4-BE49-F238E27FC236}">
              <a16:creationId xmlns=""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1207750" y="682625"/>
          <a:ext cx="3240000" cy="2746375"/>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C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3238500</xdr:colOff>
      <xdr:row>0</xdr:row>
      <xdr:rowOff>698500</xdr:rowOff>
    </xdr:from>
    <xdr:to>
      <xdr:col>8</xdr:col>
      <xdr:colOff>255500</xdr:colOff>
      <xdr:row>4</xdr:row>
      <xdr:rowOff>508000</xdr:rowOff>
    </xdr:to>
    <xdr:pic>
      <xdr:nvPicPr>
        <xdr:cNvPr id="4" name="Picture 2">
          <a:extLst>
            <a:ext uri="{FF2B5EF4-FFF2-40B4-BE49-F238E27FC236}">
              <a16:creationId xmlns=""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2001500" y="698500"/>
          <a:ext cx="3240000" cy="2746375"/>
        </a:xfrm>
        <a:prstGeom prst="rect">
          <a:avLst/>
        </a:prstGeom>
        <a:noFill/>
        <a:ln w="1">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D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2397125</xdr:colOff>
      <xdr:row>0</xdr:row>
      <xdr:rowOff>698500</xdr:rowOff>
    </xdr:from>
    <xdr:to>
      <xdr:col>8</xdr:col>
      <xdr:colOff>1049250</xdr:colOff>
      <xdr:row>4</xdr:row>
      <xdr:rowOff>508000</xdr:rowOff>
    </xdr:to>
    <xdr:pic>
      <xdr:nvPicPr>
        <xdr:cNvPr id="4" name="Picture 2">
          <a:extLst>
            <a:ext uri="{FF2B5EF4-FFF2-40B4-BE49-F238E27FC236}">
              <a16:creationId xmlns=""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715625" y="698500"/>
          <a:ext cx="3240000" cy="2746375"/>
        </a:xfrm>
        <a:prstGeom prst="rect">
          <a:avLst/>
        </a:prstGeom>
        <a:noFill/>
        <a:ln w="1">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E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6</xdr:col>
      <xdr:colOff>47625</xdr:colOff>
      <xdr:row>0</xdr:row>
      <xdr:rowOff>698500</xdr:rowOff>
    </xdr:from>
    <xdr:to>
      <xdr:col>9</xdr:col>
      <xdr:colOff>49125</xdr:colOff>
      <xdr:row>4</xdr:row>
      <xdr:rowOff>508000</xdr:rowOff>
    </xdr:to>
    <xdr:pic>
      <xdr:nvPicPr>
        <xdr:cNvPr id="4" name="Picture 2">
          <a:extLst>
            <a:ext uri="{FF2B5EF4-FFF2-40B4-BE49-F238E27FC236}">
              <a16:creationId xmlns=""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826750" y="698500"/>
          <a:ext cx="3240000" cy="2746375"/>
        </a:xfrm>
        <a:prstGeom prst="rect">
          <a:avLst/>
        </a:prstGeom>
        <a:noFill/>
        <a:ln w="1">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F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2365375</xdr:colOff>
      <xdr:row>0</xdr:row>
      <xdr:rowOff>698500</xdr:rowOff>
    </xdr:from>
    <xdr:to>
      <xdr:col>8</xdr:col>
      <xdr:colOff>1112750</xdr:colOff>
      <xdr:row>4</xdr:row>
      <xdr:rowOff>508000</xdr:rowOff>
    </xdr:to>
    <xdr:pic>
      <xdr:nvPicPr>
        <xdr:cNvPr id="4" name="Picture 2">
          <a:extLst>
            <a:ext uri="{FF2B5EF4-FFF2-40B4-BE49-F238E27FC236}">
              <a16:creationId xmlns=""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683875" y="698500"/>
          <a:ext cx="3240000" cy="2746375"/>
        </a:xfrm>
        <a:prstGeom prst="rect">
          <a:avLst/>
        </a:prstGeom>
        <a:noFill/>
        <a:ln w="1">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10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2270125</xdr:colOff>
      <xdr:row>0</xdr:row>
      <xdr:rowOff>698500</xdr:rowOff>
    </xdr:from>
    <xdr:to>
      <xdr:col>8</xdr:col>
      <xdr:colOff>588875</xdr:colOff>
      <xdr:row>4</xdr:row>
      <xdr:rowOff>508000</xdr:rowOff>
    </xdr:to>
    <xdr:pic>
      <xdr:nvPicPr>
        <xdr:cNvPr id="4" name="Picture 2">
          <a:extLst>
            <a:ext uri="{FF2B5EF4-FFF2-40B4-BE49-F238E27FC236}">
              <a16:creationId xmlns="" xmlns:a16="http://schemas.microsoft.com/office/drawing/2014/main" id="{00000000-0008-0000-10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985500" y="698500"/>
          <a:ext cx="3240000" cy="27463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3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2285250</xdr:colOff>
      <xdr:row>0</xdr:row>
      <xdr:rowOff>650875</xdr:rowOff>
    </xdr:from>
    <xdr:to>
      <xdr:col>8</xdr:col>
      <xdr:colOff>905625</xdr:colOff>
      <xdr:row>4</xdr:row>
      <xdr:rowOff>460375</xdr:rowOff>
    </xdr:to>
    <xdr:pic>
      <xdr:nvPicPr>
        <xdr:cNvPr id="6" name="Picture 2">
          <a:extLst>
            <a:ext uri="{FF2B5EF4-FFF2-40B4-BE49-F238E27FC236}">
              <a16:creationId xmlns="" xmlns:a16="http://schemas.microsoft.com/office/drawing/2014/main" id="{00000000-0008-0000-0300-000006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603750" y="650875"/>
          <a:ext cx="3240000" cy="274637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4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6</xdr:col>
      <xdr:colOff>111125</xdr:colOff>
      <xdr:row>0</xdr:row>
      <xdr:rowOff>635000</xdr:rowOff>
    </xdr:from>
    <xdr:to>
      <xdr:col>9</xdr:col>
      <xdr:colOff>112625</xdr:colOff>
      <xdr:row>4</xdr:row>
      <xdr:rowOff>444500</xdr:rowOff>
    </xdr:to>
    <xdr:pic>
      <xdr:nvPicPr>
        <xdr:cNvPr id="5" name="Picture 2">
          <a:extLst>
            <a:ext uri="{FF2B5EF4-FFF2-40B4-BE49-F238E27FC236}">
              <a16:creationId xmlns="" xmlns:a16="http://schemas.microsoft.com/office/drawing/2014/main" id="{00000000-0008-0000-0400-000005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287000" y="635000"/>
          <a:ext cx="3240000" cy="2746375"/>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5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2286000</xdr:colOff>
      <xdr:row>0</xdr:row>
      <xdr:rowOff>682625</xdr:rowOff>
    </xdr:from>
    <xdr:to>
      <xdr:col>8</xdr:col>
      <xdr:colOff>811125</xdr:colOff>
      <xdr:row>4</xdr:row>
      <xdr:rowOff>492125</xdr:rowOff>
    </xdr:to>
    <xdr:pic>
      <xdr:nvPicPr>
        <xdr:cNvPr id="4" name="Picture 2">
          <a:extLst>
            <a:ext uri="{FF2B5EF4-FFF2-40B4-BE49-F238E27FC236}">
              <a16:creationId xmlns=""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604500" y="682625"/>
          <a:ext cx="3240000" cy="2746375"/>
        </a:xfrm>
        <a:prstGeom prst="rect">
          <a:avLst/>
        </a:prstGeom>
        <a:noFill/>
        <a:ln w="1">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6</xdr:col>
      <xdr:colOff>841375</xdr:colOff>
      <xdr:row>0</xdr:row>
      <xdr:rowOff>682625</xdr:rowOff>
    </xdr:from>
    <xdr:to>
      <xdr:col>8</xdr:col>
      <xdr:colOff>969875</xdr:colOff>
      <xdr:row>4</xdr:row>
      <xdr:rowOff>492125</xdr:rowOff>
    </xdr:to>
    <xdr:pic>
      <xdr:nvPicPr>
        <xdr:cNvPr id="4" name="Picture 2">
          <a:extLst>
            <a:ext uri="{FF2B5EF4-FFF2-40B4-BE49-F238E27FC236}">
              <a16:creationId xmlns=""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2112625" y="682625"/>
          <a:ext cx="3240000" cy="2746375"/>
        </a:xfrm>
        <a:prstGeom prst="rect">
          <a:avLst/>
        </a:prstGeom>
        <a:noFill/>
        <a:ln w="1">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7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2492375</xdr:colOff>
      <xdr:row>0</xdr:row>
      <xdr:rowOff>682625</xdr:rowOff>
    </xdr:from>
    <xdr:to>
      <xdr:col>8</xdr:col>
      <xdr:colOff>874625</xdr:colOff>
      <xdr:row>4</xdr:row>
      <xdr:rowOff>492125</xdr:rowOff>
    </xdr:to>
    <xdr:pic>
      <xdr:nvPicPr>
        <xdr:cNvPr id="4" name="Picture 2">
          <a:extLst>
            <a:ext uri="{FF2B5EF4-FFF2-40B4-BE49-F238E27FC236}">
              <a16:creationId xmlns=""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810875" y="682625"/>
          <a:ext cx="3240000" cy="2746375"/>
        </a:xfrm>
        <a:prstGeom prst="rect">
          <a:avLst/>
        </a:prstGeom>
        <a:noFill/>
        <a:ln w="1">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8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3016250</xdr:colOff>
      <xdr:row>0</xdr:row>
      <xdr:rowOff>698500</xdr:rowOff>
    </xdr:from>
    <xdr:to>
      <xdr:col>8</xdr:col>
      <xdr:colOff>668250</xdr:colOff>
      <xdr:row>4</xdr:row>
      <xdr:rowOff>508000</xdr:rowOff>
    </xdr:to>
    <xdr:pic>
      <xdr:nvPicPr>
        <xdr:cNvPr id="4" name="Picture 2">
          <a:extLst>
            <a:ext uri="{FF2B5EF4-FFF2-40B4-BE49-F238E27FC236}">
              <a16:creationId xmlns=""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1334750" y="698500"/>
          <a:ext cx="3240000" cy="2746375"/>
        </a:xfrm>
        <a:prstGeom prst="rect">
          <a:avLst/>
        </a:prstGeom>
        <a:noFill/>
        <a:ln w="1">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1666875</xdr:colOff>
      <xdr:row>0</xdr:row>
      <xdr:rowOff>1190625</xdr:rowOff>
    </xdr:to>
    <xdr:sp macro="" textlink="">
      <xdr:nvSpPr>
        <xdr:cNvPr id="3" name="2 Rectángulo">
          <a:hlinkClick xmlns:r="http://schemas.openxmlformats.org/officeDocument/2006/relationships" r:id="rId1"/>
          <a:extLst>
            <a:ext uri="{FF2B5EF4-FFF2-40B4-BE49-F238E27FC236}">
              <a16:creationId xmlns="" xmlns:a16="http://schemas.microsoft.com/office/drawing/2014/main" id="{00000000-0008-0000-0900-000003000000}"/>
            </a:ext>
          </a:extLst>
        </xdr:cNvPr>
        <xdr:cNvSpPr/>
      </xdr:nvSpPr>
      <xdr:spPr>
        <a:xfrm>
          <a:off x="0" y="0"/>
          <a:ext cx="412750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b="1"/>
            <a:t>Volver</a:t>
          </a:r>
          <a:r>
            <a:rPr lang="en-US" sz="2400" b="1" baseline="0"/>
            <a:t> al menú de contenido</a:t>
          </a:r>
          <a:endParaRPr lang="en-US" sz="2400" b="1"/>
        </a:p>
      </xdr:txBody>
    </xdr:sp>
    <xdr:clientData/>
  </xdr:twoCellAnchor>
  <xdr:twoCellAnchor editAs="oneCell">
    <xdr:from>
      <xdr:col>5</xdr:col>
      <xdr:colOff>2524125</xdr:colOff>
      <xdr:row>0</xdr:row>
      <xdr:rowOff>682625</xdr:rowOff>
    </xdr:from>
    <xdr:to>
      <xdr:col>8</xdr:col>
      <xdr:colOff>811125</xdr:colOff>
      <xdr:row>4</xdr:row>
      <xdr:rowOff>492125</xdr:rowOff>
    </xdr:to>
    <xdr:pic>
      <xdr:nvPicPr>
        <xdr:cNvPr id="4" name="Picture 2">
          <a:extLst>
            <a:ext uri="{FF2B5EF4-FFF2-40B4-BE49-F238E27FC236}">
              <a16:creationId xmlns="" xmlns:a16="http://schemas.microsoft.com/office/drawing/2014/main" id="{00000000-0008-0000-0900-000004000000}"/>
            </a:ext>
          </a:extLst>
        </xdr:cNvPr>
        <xdr:cNvPicPr preferRelativeResize="0">
          <a:picLocks noChangeArrowheads="1"/>
        </xdr:cNvPicPr>
      </xdr:nvPicPr>
      <xdr:blipFill>
        <a:blip xmlns:r="http://schemas.openxmlformats.org/officeDocument/2006/relationships" r:embed="rId2"/>
        <a:srcRect b="12211"/>
        <a:stretch>
          <a:fillRect/>
        </a:stretch>
      </xdr:blipFill>
      <xdr:spPr bwMode="auto">
        <a:xfrm>
          <a:off x="10842625" y="682625"/>
          <a:ext cx="3240000" cy="274637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G24"/>
  <sheetViews>
    <sheetView showGridLines="0" tabSelected="1" zoomScale="60" zoomScaleNormal="60" workbookViewId="0"/>
  </sheetViews>
  <sheetFormatPr baseColWidth="10" defaultRowHeight="15" x14ac:dyDescent="0.25"/>
  <cols>
    <col min="1" max="1" width="11.42578125" style="2"/>
    <col min="2" max="2" width="20.5703125" style="2" customWidth="1"/>
    <col min="3" max="16384" width="11.42578125" style="2"/>
  </cols>
  <sheetData>
    <row r="1" spans="1:7" x14ac:dyDescent="0.25">
      <c r="A1" s="1" t="s">
        <v>0</v>
      </c>
      <c r="B1" s="2" t="s">
        <v>908</v>
      </c>
    </row>
    <row r="12" spans="1:7" ht="31.5" x14ac:dyDescent="0.25">
      <c r="A12" s="3"/>
      <c r="B12" s="3"/>
      <c r="C12" s="3"/>
      <c r="D12" s="3"/>
      <c r="E12" s="3"/>
      <c r="F12" s="3"/>
      <c r="G12" s="3"/>
    </row>
    <row r="13" spans="1:7" x14ac:dyDescent="0.25">
      <c r="A13" s="174" t="s">
        <v>1</v>
      </c>
      <c r="B13" s="174"/>
      <c r="C13" s="174"/>
      <c r="D13" s="174"/>
      <c r="E13" s="174"/>
      <c r="F13" s="174"/>
      <c r="G13" s="174"/>
    </row>
    <row r="14" spans="1:7" x14ac:dyDescent="0.25">
      <c r="A14" s="174"/>
      <c r="B14" s="174"/>
      <c r="C14" s="174"/>
      <c r="D14" s="174"/>
      <c r="E14" s="174"/>
      <c r="F14" s="174"/>
      <c r="G14" s="174"/>
    </row>
    <row r="22" spans="1:7" x14ac:dyDescent="0.25">
      <c r="A22" s="174" t="s">
        <v>2</v>
      </c>
      <c r="B22" s="174"/>
      <c r="C22" s="174"/>
      <c r="D22" s="174"/>
      <c r="E22" s="174"/>
      <c r="F22" s="174"/>
      <c r="G22" s="174"/>
    </row>
    <row r="23" spans="1:7" x14ac:dyDescent="0.25">
      <c r="A23" s="174"/>
      <c r="B23" s="174"/>
      <c r="C23" s="174"/>
      <c r="D23" s="174"/>
      <c r="E23" s="174"/>
      <c r="F23" s="174"/>
      <c r="G23" s="174"/>
    </row>
    <row r="24" spans="1:7" x14ac:dyDescent="0.25">
      <c r="A24" s="174"/>
      <c r="B24" s="174"/>
      <c r="C24" s="174"/>
      <c r="D24" s="174"/>
      <c r="E24" s="174"/>
      <c r="F24" s="174"/>
      <c r="G24" s="174"/>
    </row>
  </sheetData>
  <mergeCells count="2">
    <mergeCell ref="A13:G14"/>
    <mergeCell ref="A22:G24"/>
  </mergeCells>
  <dataValidations count="1">
    <dataValidation type="list" allowBlank="1" showInputMessage="1" showErrorMessage="1"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formula1>"Primer Trimestre,Segundo Trimestre,Tercer Trimestre,Cuarto Trimestre"</formula1>
    </dataValidation>
  </dataValidations>
  <pageMargins left="0.7" right="0.7" top="0.75" bottom="0.75" header="0.3" footer="0.3"/>
  <pageSetup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LimpiarDocumento">
                <anchor moveWithCells="1" sizeWithCells="1">
                  <from>
                    <xdr:col>10</xdr:col>
                    <xdr:colOff>38100</xdr:colOff>
                    <xdr:row>0</xdr:row>
                    <xdr:rowOff>123825</xdr:rowOff>
                  </from>
                  <to>
                    <xdr:col>12</xdr:col>
                    <xdr:colOff>47625</xdr:colOff>
                    <xdr:row>2</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P44"/>
  <sheetViews>
    <sheetView showGridLines="0" view="pageBreakPreview" zoomScale="20" zoomScaleNormal="40" zoomScaleSheetLayoutView="20" workbookViewId="0"/>
  </sheetViews>
  <sheetFormatPr baseColWidth="10" defaultColWidth="11.42578125" defaultRowHeight="15" x14ac:dyDescent="0.25"/>
  <cols>
    <col min="1" max="1" width="36.85546875" style="10" customWidth="1"/>
    <col min="2" max="2" width="25.7109375" style="10" customWidth="1"/>
    <col min="3" max="3" width="27.5703125" style="10" customWidth="1"/>
    <col min="4" max="5" width="20.7109375" style="10" customWidth="1"/>
    <col min="6" max="6" width="50.285156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19.85546875" style="10" customWidth="1"/>
    <col min="15" max="15" width="29.570312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95</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83" t="s">
        <v>463</v>
      </c>
      <c r="B16" s="168" t="s">
        <v>464</v>
      </c>
      <c r="C16" s="26" t="s">
        <v>465</v>
      </c>
      <c r="D16" s="20">
        <v>12</v>
      </c>
      <c r="E16" s="23" t="s">
        <v>37</v>
      </c>
      <c r="F16" s="60" t="s">
        <v>466</v>
      </c>
      <c r="G16" s="155">
        <v>0</v>
      </c>
      <c r="H16" s="155">
        <v>0</v>
      </c>
      <c r="I16" s="156">
        <v>2</v>
      </c>
      <c r="J16" s="156">
        <f>+SUM(G16:I16)</f>
        <v>2</v>
      </c>
      <c r="K16" s="13">
        <f>+IFERROR(J16/D16,"-")</f>
        <v>0.16666666666666666</v>
      </c>
      <c r="L16" s="13">
        <f>+K16+0%</f>
        <v>0.16666666666666666</v>
      </c>
      <c r="M16" s="26" t="s">
        <v>515</v>
      </c>
      <c r="N16" s="64" t="s">
        <v>516</v>
      </c>
      <c r="O16" s="60" t="s">
        <v>517</v>
      </c>
      <c r="P16" s="26"/>
    </row>
    <row r="17" spans="1:16" ht="99.95" customHeight="1" thickBot="1" x14ac:dyDescent="0.3">
      <c r="A17" s="283"/>
      <c r="B17" s="168" t="s">
        <v>467</v>
      </c>
      <c r="C17" s="26" t="s">
        <v>465</v>
      </c>
      <c r="D17" s="22">
        <v>12</v>
      </c>
      <c r="E17" s="23" t="s">
        <v>37</v>
      </c>
      <c r="F17" s="60" t="s">
        <v>466</v>
      </c>
      <c r="G17" s="155">
        <v>0</v>
      </c>
      <c r="H17" s="155">
        <v>0</v>
      </c>
      <c r="I17" s="156">
        <v>2</v>
      </c>
      <c r="J17" s="156">
        <f t="shared" ref="J17:J32" si="0">+SUM(G17:I17)</f>
        <v>2</v>
      </c>
      <c r="K17" s="13">
        <f t="shared" ref="K17:K32" si="1">+IFERROR(J17/D17,"-")</f>
        <v>0.16666666666666666</v>
      </c>
      <c r="L17" s="13">
        <f>+K17+0%</f>
        <v>0.16666666666666666</v>
      </c>
      <c r="M17" s="26" t="s">
        <v>515</v>
      </c>
      <c r="N17" s="64" t="s">
        <v>516</v>
      </c>
      <c r="O17" s="60" t="s">
        <v>517</v>
      </c>
      <c r="P17" s="26"/>
    </row>
    <row r="18" spans="1:16" ht="176.25" customHeight="1" thickBot="1" x14ac:dyDescent="0.3">
      <c r="A18" s="26" t="s">
        <v>468</v>
      </c>
      <c r="B18" s="26" t="s">
        <v>469</v>
      </c>
      <c r="C18" s="26" t="s">
        <v>470</v>
      </c>
      <c r="D18" s="24">
        <v>4764</v>
      </c>
      <c r="E18" s="23" t="s">
        <v>37</v>
      </c>
      <c r="F18" s="60" t="s">
        <v>471</v>
      </c>
      <c r="G18" s="155">
        <v>455</v>
      </c>
      <c r="H18" s="155">
        <v>619</v>
      </c>
      <c r="I18" s="156">
        <v>510</v>
      </c>
      <c r="J18" s="156">
        <f t="shared" si="0"/>
        <v>1584</v>
      </c>
      <c r="K18" s="13">
        <f t="shared" si="1"/>
        <v>0.33249370277078083</v>
      </c>
      <c r="L18" s="13">
        <f>+K18+108.627204030227%</f>
        <v>1.4187657430730509</v>
      </c>
      <c r="M18" s="26" t="s">
        <v>518</v>
      </c>
      <c r="N18" s="64" t="s">
        <v>516</v>
      </c>
      <c r="O18" s="60" t="s">
        <v>519</v>
      </c>
      <c r="P18" s="26"/>
    </row>
    <row r="19" spans="1:16" ht="99.95" customHeight="1" thickBot="1" x14ac:dyDescent="0.3">
      <c r="A19" s="284" t="s">
        <v>472</v>
      </c>
      <c r="B19" s="26" t="s">
        <v>473</v>
      </c>
      <c r="C19" s="26" t="s">
        <v>474</v>
      </c>
      <c r="D19" s="25">
        <v>24</v>
      </c>
      <c r="E19" s="23" t="s">
        <v>37</v>
      </c>
      <c r="F19" s="60" t="s">
        <v>475</v>
      </c>
      <c r="G19" s="155">
        <v>0</v>
      </c>
      <c r="H19" s="155">
        <v>1</v>
      </c>
      <c r="I19" s="156">
        <v>1</v>
      </c>
      <c r="J19" s="156">
        <f t="shared" si="0"/>
        <v>2</v>
      </c>
      <c r="K19" s="13">
        <f t="shared" si="1"/>
        <v>8.3333333333333329E-2</v>
      </c>
      <c r="L19" s="13">
        <f>+K19+41.6666666666667%</f>
        <v>0.50000000000000033</v>
      </c>
      <c r="M19" s="26" t="s">
        <v>520</v>
      </c>
      <c r="N19" s="64" t="s">
        <v>429</v>
      </c>
      <c r="O19" s="60" t="s">
        <v>521</v>
      </c>
      <c r="P19" s="26"/>
    </row>
    <row r="20" spans="1:16" ht="99.95" customHeight="1" thickBot="1" x14ac:dyDescent="0.3">
      <c r="A20" s="289"/>
      <c r="B20" s="26" t="s">
        <v>476</v>
      </c>
      <c r="C20" s="26" t="s">
        <v>477</v>
      </c>
      <c r="D20" s="24">
        <v>1</v>
      </c>
      <c r="E20" s="23" t="s">
        <v>37</v>
      </c>
      <c r="F20" s="60" t="s">
        <v>478</v>
      </c>
      <c r="G20" s="155">
        <v>0</v>
      </c>
      <c r="H20" s="155">
        <v>0</v>
      </c>
      <c r="I20" s="156">
        <v>1</v>
      </c>
      <c r="J20" s="156">
        <f t="shared" si="0"/>
        <v>1</v>
      </c>
      <c r="K20" s="13">
        <f t="shared" si="1"/>
        <v>1</v>
      </c>
      <c r="L20" s="13">
        <f>+K20+0%</f>
        <v>1</v>
      </c>
      <c r="M20" s="26" t="s">
        <v>520</v>
      </c>
      <c r="N20" s="64" t="s">
        <v>516</v>
      </c>
      <c r="O20" s="60" t="s">
        <v>522</v>
      </c>
      <c r="P20" s="26"/>
    </row>
    <row r="21" spans="1:16" ht="99.95" customHeight="1" thickBot="1" x14ac:dyDescent="0.3">
      <c r="A21" s="289"/>
      <c r="B21" s="168" t="s">
        <v>479</v>
      </c>
      <c r="C21" s="26" t="s">
        <v>480</v>
      </c>
      <c r="D21" s="20">
        <v>600</v>
      </c>
      <c r="E21" s="23" t="s">
        <v>37</v>
      </c>
      <c r="F21" s="60" t="s">
        <v>481</v>
      </c>
      <c r="G21" s="155">
        <v>0</v>
      </c>
      <c r="H21" s="155">
        <v>0</v>
      </c>
      <c r="I21" s="156">
        <v>0</v>
      </c>
      <c r="J21" s="156">
        <f t="shared" si="0"/>
        <v>0</v>
      </c>
      <c r="K21" s="13">
        <f t="shared" si="1"/>
        <v>0</v>
      </c>
      <c r="L21" s="13">
        <f>+K21+0%</f>
        <v>0</v>
      </c>
      <c r="M21" s="26" t="s">
        <v>520</v>
      </c>
      <c r="N21" s="64" t="s">
        <v>424</v>
      </c>
      <c r="O21" s="60" t="s">
        <v>523</v>
      </c>
      <c r="P21" s="26"/>
    </row>
    <row r="22" spans="1:16" ht="99.95" customHeight="1" thickBot="1" x14ac:dyDescent="0.3">
      <c r="A22" s="289"/>
      <c r="B22" s="26" t="s">
        <v>482</v>
      </c>
      <c r="C22" s="26" t="s">
        <v>483</v>
      </c>
      <c r="D22" s="20">
        <v>1694</v>
      </c>
      <c r="E22" s="23" t="s">
        <v>37</v>
      </c>
      <c r="F22" s="60" t="s">
        <v>484</v>
      </c>
      <c r="G22" s="155">
        <v>196</v>
      </c>
      <c r="H22" s="155">
        <v>203</v>
      </c>
      <c r="I22" s="156">
        <v>297</v>
      </c>
      <c r="J22" s="156">
        <f t="shared" si="0"/>
        <v>696</v>
      </c>
      <c r="K22" s="13">
        <f t="shared" si="1"/>
        <v>0.41086186540731995</v>
      </c>
      <c r="L22" s="13">
        <f>+K22+128.099173553719%</f>
        <v>1.69185360094451</v>
      </c>
      <c r="M22" s="26" t="s">
        <v>520</v>
      </c>
      <c r="N22" s="64" t="s">
        <v>429</v>
      </c>
      <c r="O22" s="60" t="s">
        <v>524</v>
      </c>
      <c r="P22" s="26"/>
    </row>
    <row r="23" spans="1:16" ht="124.5" customHeight="1" thickBot="1" x14ac:dyDescent="0.3">
      <c r="A23" s="289"/>
      <c r="B23" s="26" t="s">
        <v>485</v>
      </c>
      <c r="C23" s="26" t="s">
        <v>486</v>
      </c>
      <c r="D23" s="22">
        <v>8730</v>
      </c>
      <c r="E23" s="23" t="s">
        <v>37</v>
      </c>
      <c r="F23" s="60" t="s">
        <v>487</v>
      </c>
      <c r="G23" s="155">
        <v>532</v>
      </c>
      <c r="H23" s="155">
        <v>510</v>
      </c>
      <c r="I23" s="156">
        <v>365</v>
      </c>
      <c r="J23" s="156">
        <f t="shared" si="0"/>
        <v>1407</v>
      </c>
      <c r="K23" s="13">
        <f t="shared" si="1"/>
        <v>0.1611683848797251</v>
      </c>
      <c r="L23" s="13">
        <f>+K23+52.4513172966782%</f>
        <v>0.68568155784650708</v>
      </c>
      <c r="M23" s="26" t="s">
        <v>520</v>
      </c>
      <c r="N23" s="64" t="s">
        <v>424</v>
      </c>
      <c r="O23" s="60" t="s">
        <v>525</v>
      </c>
      <c r="P23" s="26"/>
    </row>
    <row r="24" spans="1:16" ht="99.95" customHeight="1" thickBot="1" x14ac:dyDescent="0.3">
      <c r="A24" s="285"/>
      <c r="B24" s="26" t="s">
        <v>488</v>
      </c>
      <c r="C24" s="26" t="s">
        <v>489</v>
      </c>
      <c r="D24" s="24">
        <v>4</v>
      </c>
      <c r="E24" s="23" t="s">
        <v>37</v>
      </c>
      <c r="F24" s="60" t="s">
        <v>490</v>
      </c>
      <c r="G24" s="155">
        <v>1</v>
      </c>
      <c r="H24" s="155">
        <v>0</v>
      </c>
      <c r="I24" s="156">
        <v>0</v>
      </c>
      <c r="J24" s="156">
        <f t="shared" si="0"/>
        <v>1</v>
      </c>
      <c r="K24" s="13">
        <f t="shared" si="1"/>
        <v>0.25</v>
      </c>
      <c r="L24" s="13">
        <f>+K24+50%</f>
        <v>0.75</v>
      </c>
      <c r="M24" s="26" t="s">
        <v>520</v>
      </c>
      <c r="N24" s="64" t="s">
        <v>526</v>
      </c>
      <c r="O24" s="60" t="s">
        <v>527</v>
      </c>
      <c r="P24" s="26"/>
    </row>
    <row r="25" spans="1:16" ht="99.95" customHeight="1" thickBot="1" x14ac:dyDescent="0.3">
      <c r="A25" s="284" t="s">
        <v>472</v>
      </c>
      <c r="B25" s="26" t="s">
        <v>491</v>
      </c>
      <c r="C25" s="26" t="s">
        <v>492</v>
      </c>
      <c r="D25" s="24">
        <v>37</v>
      </c>
      <c r="E25" s="23" t="s">
        <v>37</v>
      </c>
      <c r="F25" s="60" t="s">
        <v>493</v>
      </c>
      <c r="G25" s="155">
        <v>4</v>
      </c>
      <c r="H25" s="155">
        <v>4</v>
      </c>
      <c r="I25" s="156">
        <v>0</v>
      </c>
      <c r="J25" s="156">
        <f t="shared" si="0"/>
        <v>8</v>
      </c>
      <c r="K25" s="13">
        <f t="shared" si="1"/>
        <v>0.21621621621621623</v>
      </c>
      <c r="L25" s="13">
        <f>+K25+83.7837837837837%</f>
        <v>1.0540540540540533</v>
      </c>
      <c r="M25" s="26" t="s">
        <v>520</v>
      </c>
      <c r="N25" s="64" t="s">
        <v>528</v>
      </c>
      <c r="O25" s="60" t="s">
        <v>529</v>
      </c>
      <c r="P25" s="26"/>
    </row>
    <row r="26" spans="1:16" ht="99.95" customHeight="1" thickBot="1" x14ac:dyDescent="0.3">
      <c r="A26" s="289"/>
      <c r="B26" s="26" t="s">
        <v>494</v>
      </c>
      <c r="C26" s="26" t="s">
        <v>495</v>
      </c>
      <c r="D26" s="24">
        <v>12</v>
      </c>
      <c r="E26" s="23" t="s">
        <v>37</v>
      </c>
      <c r="F26" s="60" t="s">
        <v>496</v>
      </c>
      <c r="G26" s="155">
        <v>1</v>
      </c>
      <c r="H26" s="155">
        <v>1</v>
      </c>
      <c r="I26" s="156">
        <v>1</v>
      </c>
      <c r="J26" s="156">
        <f t="shared" si="0"/>
        <v>3</v>
      </c>
      <c r="K26" s="13">
        <f t="shared" si="1"/>
        <v>0.25</v>
      </c>
      <c r="L26" s="13">
        <f>+K26+75%</f>
        <v>1</v>
      </c>
      <c r="M26" s="26" t="s">
        <v>520</v>
      </c>
      <c r="N26" s="64" t="s">
        <v>429</v>
      </c>
      <c r="O26" s="60" t="s">
        <v>530</v>
      </c>
      <c r="P26" s="26"/>
    </row>
    <row r="27" spans="1:16" ht="99.95" customHeight="1" thickBot="1" x14ac:dyDescent="0.3">
      <c r="A27" s="289"/>
      <c r="B27" s="26" t="s">
        <v>497</v>
      </c>
      <c r="C27" s="26" t="s">
        <v>498</v>
      </c>
      <c r="D27" s="24">
        <v>13</v>
      </c>
      <c r="E27" s="23" t="s">
        <v>37</v>
      </c>
      <c r="F27" s="60" t="s">
        <v>499</v>
      </c>
      <c r="G27" s="155">
        <v>1</v>
      </c>
      <c r="H27" s="155">
        <v>1</v>
      </c>
      <c r="I27" s="156">
        <v>2</v>
      </c>
      <c r="J27" s="156">
        <f t="shared" si="0"/>
        <v>4</v>
      </c>
      <c r="K27" s="13">
        <f t="shared" si="1"/>
        <v>0.30769230769230771</v>
      </c>
      <c r="L27" s="13">
        <f>+K27+69.2307692307693%</f>
        <v>1.0000000000000007</v>
      </c>
      <c r="M27" s="26" t="s">
        <v>520</v>
      </c>
      <c r="N27" s="64" t="s">
        <v>429</v>
      </c>
      <c r="O27" s="60" t="s">
        <v>531</v>
      </c>
      <c r="P27" s="26"/>
    </row>
    <row r="28" spans="1:16" ht="99.95" customHeight="1" thickBot="1" x14ac:dyDescent="0.3">
      <c r="A28" s="289"/>
      <c r="B28" s="26" t="s">
        <v>500</v>
      </c>
      <c r="C28" s="26" t="s">
        <v>501</v>
      </c>
      <c r="D28" s="24">
        <v>700</v>
      </c>
      <c r="E28" s="23" t="s">
        <v>37</v>
      </c>
      <c r="F28" s="60" t="s">
        <v>502</v>
      </c>
      <c r="G28" s="155">
        <v>98</v>
      </c>
      <c r="H28" s="155">
        <v>150</v>
      </c>
      <c r="I28" s="156">
        <v>104</v>
      </c>
      <c r="J28" s="156">
        <f t="shared" si="0"/>
        <v>352</v>
      </c>
      <c r="K28" s="13">
        <f t="shared" si="1"/>
        <v>0.50285714285714289</v>
      </c>
      <c r="L28" s="13">
        <f>+K28+114.142857142857%</f>
        <v>1.6442857142857128</v>
      </c>
      <c r="M28" s="26" t="s">
        <v>520</v>
      </c>
      <c r="N28" s="64" t="s">
        <v>429</v>
      </c>
      <c r="O28" s="60" t="s">
        <v>532</v>
      </c>
      <c r="P28" s="26"/>
    </row>
    <row r="29" spans="1:16" ht="99.95" customHeight="1" thickBot="1" x14ac:dyDescent="0.3">
      <c r="A29" s="289"/>
      <c r="B29" s="26" t="s">
        <v>503</v>
      </c>
      <c r="C29" s="26" t="s">
        <v>504</v>
      </c>
      <c r="D29" s="25">
        <v>4000</v>
      </c>
      <c r="E29" s="23" t="s">
        <v>37</v>
      </c>
      <c r="F29" s="60" t="s">
        <v>505</v>
      </c>
      <c r="G29" s="155">
        <v>493</v>
      </c>
      <c r="H29" s="155">
        <v>559</v>
      </c>
      <c r="I29" s="156">
        <v>534</v>
      </c>
      <c r="J29" s="156">
        <f t="shared" si="0"/>
        <v>1586</v>
      </c>
      <c r="K29" s="13">
        <f t="shared" si="1"/>
        <v>0.39650000000000002</v>
      </c>
      <c r="L29" s="13">
        <f>+K29+89.75%</f>
        <v>1.294</v>
      </c>
      <c r="M29" s="26" t="s">
        <v>520</v>
      </c>
      <c r="N29" s="64" t="s">
        <v>429</v>
      </c>
      <c r="O29" s="60" t="s">
        <v>524</v>
      </c>
      <c r="P29" s="26"/>
    </row>
    <row r="30" spans="1:16" ht="99.95" customHeight="1" thickBot="1" x14ac:dyDescent="0.3">
      <c r="A30" s="289"/>
      <c r="B30" s="26" t="s">
        <v>506</v>
      </c>
      <c r="C30" s="26" t="s">
        <v>507</v>
      </c>
      <c r="D30" s="25">
        <v>13</v>
      </c>
      <c r="E30" s="23" t="s">
        <v>37</v>
      </c>
      <c r="F30" s="60" t="s">
        <v>508</v>
      </c>
      <c r="G30" s="155">
        <v>1</v>
      </c>
      <c r="H30" s="155">
        <v>1</v>
      </c>
      <c r="I30" s="156">
        <v>2</v>
      </c>
      <c r="J30" s="156">
        <f t="shared" si="0"/>
        <v>4</v>
      </c>
      <c r="K30" s="13">
        <f t="shared" si="1"/>
        <v>0.30769230769230771</v>
      </c>
      <c r="L30" s="13">
        <f>+K30+69.2307692307693%</f>
        <v>1.0000000000000007</v>
      </c>
      <c r="M30" s="26" t="s">
        <v>520</v>
      </c>
      <c r="N30" s="64" t="s">
        <v>533</v>
      </c>
      <c r="O30" s="60" t="s">
        <v>524</v>
      </c>
      <c r="P30" s="26"/>
    </row>
    <row r="31" spans="1:16" ht="99.95" customHeight="1" thickBot="1" x14ac:dyDescent="0.3">
      <c r="A31" s="289"/>
      <c r="B31" s="26" t="s">
        <v>509</v>
      </c>
      <c r="C31" s="26" t="s">
        <v>510</v>
      </c>
      <c r="D31" s="25">
        <v>45</v>
      </c>
      <c r="E31" s="23" t="s">
        <v>37</v>
      </c>
      <c r="F31" s="60" t="s">
        <v>511</v>
      </c>
      <c r="G31" s="155">
        <v>5</v>
      </c>
      <c r="H31" s="155">
        <v>2</v>
      </c>
      <c r="I31" s="156">
        <v>1</v>
      </c>
      <c r="J31" s="156">
        <f t="shared" si="0"/>
        <v>8</v>
      </c>
      <c r="K31" s="13">
        <f t="shared" si="1"/>
        <v>0.17777777777777778</v>
      </c>
      <c r="L31" s="13">
        <f>+K31+53.3333333333334%</f>
        <v>0.7111111111111118</v>
      </c>
      <c r="M31" s="26" t="s">
        <v>520</v>
      </c>
      <c r="N31" s="64" t="s">
        <v>534</v>
      </c>
      <c r="O31" s="60" t="s">
        <v>535</v>
      </c>
      <c r="P31" s="26"/>
    </row>
    <row r="32" spans="1:16" ht="99.95" customHeight="1" thickBot="1" x14ac:dyDescent="0.3">
      <c r="A32" s="285"/>
      <c r="B32" s="168" t="s">
        <v>512</v>
      </c>
      <c r="C32" s="26" t="s">
        <v>513</v>
      </c>
      <c r="D32" s="25">
        <v>8</v>
      </c>
      <c r="E32" s="23" t="s">
        <v>37</v>
      </c>
      <c r="F32" s="60" t="s">
        <v>514</v>
      </c>
      <c r="G32" s="155">
        <v>0</v>
      </c>
      <c r="H32" s="155">
        <v>0</v>
      </c>
      <c r="I32" s="156">
        <v>0</v>
      </c>
      <c r="J32" s="156">
        <f t="shared" si="0"/>
        <v>0</v>
      </c>
      <c r="K32" s="13">
        <f t="shared" si="1"/>
        <v>0</v>
      </c>
      <c r="L32" s="13">
        <f>+K32+12.5%</f>
        <v>0.125</v>
      </c>
      <c r="M32" s="26" t="s">
        <v>520</v>
      </c>
      <c r="N32" s="64" t="s">
        <v>534</v>
      </c>
      <c r="O32" s="60" t="s">
        <v>536</v>
      </c>
      <c r="P32" s="26"/>
    </row>
    <row r="33" spans="1:15" x14ac:dyDescent="0.25">
      <c r="A33" s="14"/>
      <c r="B33" s="14"/>
      <c r="C33" s="14"/>
      <c r="D33" s="14"/>
      <c r="E33" s="14"/>
      <c r="F33" s="15"/>
      <c r="G33" s="14"/>
      <c r="H33" s="14"/>
      <c r="I33" s="14"/>
      <c r="J33" s="14"/>
      <c r="K33" s="14"/>
      <c r="L33" s="14"/>
      <c r="M33" s="15"/>
      <c r="N33" s="15"/>
      <c r="O33" s="15"/>
    </row>
    <row r="34" spans="1:15" x14ac:dyDescent="0.25">
      <c r="A34" s="14"/>
      <c r="B34" s="14"/>
      <c r="C34" s="14"/>
      <c r="D34" s="14"/>
      <c r="E34" s="14"/>
      <c r="F34" s="15"/>
      <c r="G34" s="14"/>
      <c r="H34" s="14"/>
      <c r="I34" s="14"/>
      <c r="J34" s="14"/>
      <c r="K34" s="14"/>
      <c r="L34" s="14"/>
      <c r="M34" s="15"/>
      <c r="N34" s="15"/>
      <c r="O34" s="15"/>
    </row>
    <row r="35" spans="1:15" x14ac:dyDescent="0.25">
      <c r="A35" s="14"/>
      <c r="B35" s="14"/>
      <c r="C35" s="14"/>
      <c r="D35" s="14"/>
      <c r="E35" s="14"/>
      <c r="F35" s="15"/>
      <c r="G35" s="14"/>
      <c r="H35" s="14"/>
      <c r="I35" s="14"/>
      <c r="J35" s="14"/>
      <c r="K35" s="14"/>
      <c r="L35" s="14"/>
      <c r="M35" s="15"/>
      <c r="N35" s="15"/>
      <c r="O35" s="15"/>
    </row>
    <row r="36" spans="1:15" x14ac:dyDescent="0.25">
      <c r="A36" s="14"/>
      <c r="B36" s="14"/>
      <c r="C36" s="14"/>
      <c r="D36" s="14"/>
      <c r="E36" s="14"/>
      <c r="F36" s="15"/>
      <c r="G36" s="14"/>
      <c r="H36" s="14"/>
      <c r="I36" s="14"/>
      <c r="J36" s="14"/>
      <c r="K36" s="14"/>
      <c r="L36" s="14"/>
      <c r="M36" s="15"/>
      <c r="N36" s="15"/>
      <c r="O36" s="15"/>
    </row>
    <row r="37" spans="1:15" x14ac:dyDescent="0.25">
      <c r="A37" s="15"/>
      <c r="B37" s="15"/>
      <c r="C37" s="15"/>
      <c r="D37" s="15"/>
      <c r="E37" s="15"/>
      <c r="F37" s="15"/>
      <c r="G37" s="15"/>
      <c r="H37" s="15"/>
      <c r="I37" s="15"/>
      <c r="J37" s="15"/>
      <c r="K37" s="15"/>
      <c r="L37" s="15"/>
      <c r="M37" s="15"/>
      <c r="N37" s="15"/>
      <c r="O37" s="15"/>
    </row>
    <row r="38" spans="1:15" x14ac:dyDescent="0.25">
      <c r="A38" s="15"/>
      <c r="B38" s="15"/>
      <c r="C38" s="15"/>
      <c r="D38" s="15"/>
      <c r="E38" s="15"/>
      <c r="F38" s="15"/>
      <c r="G38" s="15"/>
      <c r="H38" s="15"/>
      <c r="I38" s="15"/>
      <c r="J38" s="15"/>
      <c r="K38" s="15"/>
      <c r="L38" s="15"/>
      <c r="M38" s="15"/>
      <c r="N38" s="15"/>
      <c r="O38" s="15"/>
    </row>
    <row r="39" spans="1:15" x14ac:dyDescent="0.25">
      <c r="A39" s="15"/>
      <c r="B39" s="15"/>
      <c r="C39" s="15"/>
      <c r="D39" s="15"/>
      <c r="E39" s="15"/>
      <c r="F39" s="15"/>
      <c r="G39" s="15"/>
      <c r="H39" s="15"/>
      <c r="I39" s="15"/>
      <c r="J39" s="15"/>
      <c r="K39" s="15"/>
      <c r="L39" s="15"/>
      <c r="M39" s="15"/>
      <c r="N39" s="15"/>
      <c r="O39" s="15"/>
    </row>
    <row r="40" spans="1:15" x14ac:dyDescent="0.25">
      <c r="A40" s="15"/>
      <c r="B40" s="15"/>
      <c r="C40" s="15"/>
      <c r="D40" s="15"/>
      <c r="E40" s="15"/>
      <c r="F40" s="15"/>
      <c r="G40" s="15"/>
      <c r="H40" s="15"/>
      <c r="I40" s="15"/>
      <c r="J40" s="15"/>
      <c r="K40" s="15"/>
      <c r="L40" s="15"/>
      <c r="M40" s="15"/>
      <c r="N40" s="15"/>
      <c r="O40" s="15"/>
    </row>
    <row r="41" spans="1:15" x14ac:dyDescent="0.25">
      <c r="A41" s="15"/>
      <c r="B41" s="15"/>
      <c r="C41" s="15"/>
      <c r="D41" s="15"/>
      <c r="E41" s="15"/>
      <c r="F41" s="15"/>
      <c r="G41" s="15"/>
      <c r="H41" s="15"/>
      <c r="I41" s="15"/>
      <c r="J41" s="15"/>
      <c r="K41" s="15"/>
      <c r="L41" s="15"/>
      <c r="M41" s="15"/>
      <c r="N41" s="15"/>
      <c r="O41" s="15"/>
    </row>
    <row r="42" spans="1:15" x14ac:dyDescent="0.25">
      <c r="A42" s="15"/>
      <c r="B42" s="15"/>
      <c r="C42" s="15"/>
      <c r="D42" s="15"/>
      <c r="E42" s="15"/>
      <c r="F42" s="15"/>
      <c r="G42" s="15"/>
      <c r="H42" s="15"/>
      <c r="I42" s="15"/>
      <c r="J42" s="15"/>
      <c r="K42" s="15"/>
      <c r="L42" s="15"/>
      <c r="M42" s="15"/>
      <c r="N42" s="15"/>
      <c r="O42" s="15"/>
    </row>
    <row r="43" spans="1:15" ht="15" customHeight="1" x14ac:dyDescent="0.25">
      <c r="A43" s="277"/>
      <c r="B43" s="277"/>
      <c r="C43" s="277"/>
      <c r="D43" s="277"/>
      <c r="E43" s="277"/>
      <c r="F43" s="277"/>
      <c r="G43" s="277"/>
      <c r="H43" s="277"/>
      <c r="I43" s="277"/>
      <c r="J43" s="277"/>
      <c r="K43" s="16"/>
      <c r="L43" s="16"/>
    </row>
    <row r="44" spans="1:15" x14ac:dyDescent="0.25">
      <c r="A44" s="277"/>
      <c r="B44" s="277"/>
      <c r="C44" s="277"/>
      <c r="D44" s="277"/>
      <c r="E44" s="277"/>
      <c r="F44" s="277"/>
      <c r="G44" s="277"/>
      <c r="H44" s="277"/>
      <c r="I44" s="277"/>
      <c r="J44" s="277"/>
      <c r="K44" s="16"/>
      <c r="L44" s="16"/>
    </row>
  </sheetData>
  <mergeCells count="18">
    <mergeCell ref="A12:P13"/>
    <mergeCell ref="A6:P6"/>
    <mergeCell ref="A7:P7"/>
    <mergeCell ref="A8:P8"/>
    <mergeCell ref="A9:P9"/>
    <mergeCell ref="A10:P11"/>
    <mergeCell ref="O14:O15"/>
    <mergeCell ref="P14:P15"/>
    <mergeCell ref="A43:J44"/>
    <mergeCell ref="A16:A17"/>
    <mergeCell ref="A14:A15"/>
    <mergeCell ref="B14:E14"/>
    <mergeCell ref="F14:F15"/>
    <mergeCell ref="G14:L14"/>
    <mergeCell ref="M14:M15"/>
    <mergeCell ref="N14:N15"/>
    <mergeCell ref="A19:A24"/>
    <mergeCell ref="A25:A32"/>
  </mergeCells>
  <printOptions horizontalCentered="1" verticalCentered="1"/>
  <pageMargins left="3.937007874015748E-2" right="3.937007874015748E-2" top="0.35433070866141736" bottom="0.39370078740157483" header="0.31496062992125984" footer="0.23622047244094491"/>
  <pageSetup scale="35" fitToHeight="0" orientation="landscape" r:id="rId1"/>
  <rowBreaks count="1" manualBreakCount="1">
    <brk id="24"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P45"/>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3" width="22.5703125" style="10" customWidth="1"/>
    <col min="4" max="5" width="20.7109375" style="10" customWidth="1"/>
    <col min="6" max="6" width="47.57031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9.42578125" style="10" customWidth="1"/>
    <col min="15" max="15" width="33"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96</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293.25" customHeight="1" thickBot="1" x14ac:dyDescent="0.3">
      <c r="A16" s="284" t="s">
        <v>620</v>
      </c>
      <c r="B16" s="26" t="s">
        <v>537</v>
      </c>
      <c r="C16" s="26" t="s">
        <v>538</v>
      </c>
      <c r="D16" s="20">
        <v>1</v>
      </c>
      <c r="E16" s="23" t="s">
        <v>37</v>
      </c>
      <c r="F16" s="60" t="s">
        <v>539</v>
      </c>
      <c r="G16" s="155">
        <v>0</v>
      </c>
      <c r="H16" s="155">
        <v>0</v>
      </c>
      <c r="I16" s="155">
        <v>0</v>
      </c>
      <c r="J16" s="156">
        <f>+SUM(G16:I16)</f>
        <v>0</v>
      </c>
      <c r="K16" s="13">
        <f>+IFERROR(J16/D16,"-")</f>
        <v>0</v>
      </c>
      <c r="L16" s="13">
        <f>+K16+100%</f>
        <v>1</v>
      </c>
      <c r="M16" s="64" t="s">
        <v>560</v>
      </c>
      <c r="N16" s="26" t="s">
        <v>39</v>
      </c>
      <c r="O16" s="60" t="s">
        <v>561</v>
      </c>
      <c r="P16" s="26"/>
    </row>
    <row r="17" spans="1:16" ht="328.5" customHeight="1" thickBot="1" x14ac:dyDescent="0.3">
      <c r="A17" s="285"/>
      <c r="B17" s="26" t="s">
        <v>540</v>
      </c>
      <c r="C17" s="26" t="s">
        <v>541</v>
      </c>
      <c r="D17" s="173">
        <v>2</v>
      </c>
      <c r="E17" s="23" t="s">
        <v>37</v>
      </c>
      <c r="F17" s="60" t="s">
        <v>542</v>
      </c>
      <c r="G17" s="155">
        <v>0</v>
      </c>
      <c r="H17" s="155">
        <v>0</v>
      </c>
      <c r="I17" s="155">
        <v>2</v>
      </c>
      <c r="J17" s="156">
        <f t="shared" ref="J17:J33" si="0">+SUM(G17:I17)</f>
        <v>2</v>
      </c>
      <c r="K17" s="13">
        <f t="shared" ref="K17:K33" si="1">+IFERROR(J17/D17,"-")</f>
        <v>1</v>
      </c>
      <c r="L17" s="13">
        <f>+K17+0%</f>
        <v>1</v>
      </c>
      <c r="M17" s="26" t="s">
        <v>562</v>
      </c>
      <c r="N17" s="26" t="s">
        <v>39</v>
      </c>
      <c r="O17" s="60" t="s">
        <v>563</v>
      </c>
      <c r="P17" s="26"/>
    </row>
    <row r="18" spans="1:16" ht="128.25" customHeight="1" thickBot="1" x14ac:dyDescent="0.3">
      <c r="A18" s="283" t="s">
        <v>543</v>
      </c>
      <c r="B18" s="26" t="s">
        <v>544</v>
      </c>
      <c r="C18" s="26" t="s">
        <v>545</v>
      </c>
      <c r="D18" s="172">
        <v>1</v>
      </c>
      <c r="E18" s="23" t="s">
        <v>37</v>
      </c>
      <c r="F18" s="60" t="s">
        <v>546</v>
      </c>
      <c r="G18" s="155">
        <v>0</v>
      </c>
      <c r="H18" s="155">
        <v>0</v>
      </c>
      <c r="I18" s="155">
        <v>0</v>
      </c>
      <c r="J18" s="156">
        <f t="shared" si="0"/>
        <v>0</v>
      </c>
      <c r="K18" s="13">
        <f t="shared" si="1"/>
        <v>0</v>
      </c>
      <c r="L18" s="13">
        <f>+K18+100%</f>
        <v>1</v>
      </c>
      <c r="M18" s="26" t="s">
        <v>562</v>
      </c>
      <c r="N18" s="26" t="s">
        <v>39</v>
      </c>
      <c r="O18" s="60" t="s">
        <v>564</v>
      </c>
      <c r="P18" s="26"/>
    </row>
    <row r="19" spans="1:16" ht="220.5" customHeight="1" thickBot="1" x14ac:dyDescent="0.3">
      <c r="A19" s="283"/>
      <c r="B19" s="26" t="s">
        <v>547</v>
      </c>
      <c r="C19" s="26" t="s">
        <v>548</v>
      </c>
      <c r="D19" s="25">
        <v>5</v>
      </c>
      <c r="E19" s="23" t="s">
        <v>37</v>
      </c>
      <c r="F19" s="60" t="s">
        <v>549</v>
      </c>
      <c r="G19" s="155">
        <v>1</v>
      </c>
      <c r="H19" s="155">
        <v>0</v>
      </c>
      <c r="I19" s="155">
        <v>1</v>
      </c>
      <c r="J19" s="156">
        <f t="shared" si="0"/>
        <v>2</v>
      </c>
      <c r="K19" s="13">
        <f t="shared" si="1"/>
        <v>0.4</v>
      </c>
      <c r="L19" s="13">
        <f>+K19+60%</f>
        <v>1</v>
      </c>
      <c r="M19" s="26" t="s">
        <v>562</v>
      </c>
      <c r="N19" s="26" t="s">
        <v>39</v>
      </c>
      <c r="O19" s="60" t="s">
        <v>565</v>
      </c>
      <c r="P19" s="26"/>
    </row>
    <row r="20" spans="1:16" ht="120" customHeight="1" thickBot="1" x14ac:dyDescent="0.3">
      <c r="A20" s="26" t="s">
        <v>550</v>
      </c>
      <c r="B20" s="26" t="s">
        <v>551</v>
      </c>
      <c r="C20" s="26" t="s">
        <v>552</v>
      </c>
      <c r="D20" s="24">
        <v>1</v>
      </c>
      <c r="E20" s="23" t="s">
        <v>37</v>
      </c>
      <c r="F20" s="60" t="s">
        <v>553</v>
      </c>
      <c r="G20" s="155">
        <v>0</v>
      </c>
      <c r="H20" s="155">
        <v>0</v>
      </c>
      <c r="I20" s="155">
        <v>0</v>
      </c>
      <c r="J20" s="156">
        <f t="shared" si="0"/>
        <v>0</v>
      </c>
      <c r="K20" s="13">
        <f t="shared" si="1"/>
        <v>0</v>
      </c>
      <c r="L20" s="13">
        <f>+K20+100%</f>
        <v>1</v>
      </c>
      <c r="M20" s="26" t="s">
        <v>562</v>
      </c>
      <c r="N20" s="64" t="s">
        <v>566</v>
      </c>
      <c r="O20" s="60" t="s">
        <v>567</v>
      </c>
      <c r="P20" s="26"/>
    </row>
    <row r="21" spans="1:16" ht="159.75" customHeight="1" thickBot="1" x14ac:dyDescent="0.3">
      <c r="A21" s="26" t="s">
        <v>554</v>
      </c>
      <c r="B21" s="26" t="s">
        <v>555</v>
      </c>
      <c r="C21" s="26" t="s">
        <v>552</v>
      </c>
      <c r="D21" s="20">
        <v>1</v>
      </c>
      <c r="E21" s="23" t="s">
        <v>37</v>
      </c>
      <c r="F21" s="60" t="s">
        <v>556</v>
      </c>
      <c r="G21" s="155">
        <v>0</v>
      </c>
      <c r="H21" s="155">
        <v>0</v>
      </c>
      <c r="I21" s="155">
        <v>0</v>
      </c>
      <c r="J21" s="156">
        <f t="shared" si="0"/>
        <v>0</v>
      </c>
      <c r="K21" s="13">
        <f t="shared" si="1"/>
        <v>0</v>
      </c>
      <c r="L21" s="13">
        <f>+K21+100%</f>
        <v>1</v>
      </c>
      <c r="M21" s="26" t="s">
        <v>562</v>
      </c>
      <c r="N21" s="64" t="s">
        <v>568</v>
      </c>
      <c r="O21" s="60" t="s">
        <v>569</v>
      </c>
      <c r="P21" s="26"/>
    </row>
    <row r="22" spans="1:16" ht="135" customHeight="1" thickBot="1" x14ac:dyDescent="0.3">
      <c r="A22" s="26" t="s">
        <v>557</v>
      </c>
      <c r="B22" s="26" t="s">
        <v>558</v>
      </c>
      <c r="C22" s="26" t="s">
        <v>552</v>
      </c>
      <c r="D22" s="20">
        <v>1</v>
      </c>
      <c r="E22" s="23" t="s">
        <v>37</v>
      </c>
      <c r="F22" s="60" t="s">
        <v>559</v>
      </c>
      <c r="G22" s="155">
        <v>0</v>
      </c>
      <c r="H22" s="155">
        <v>0</v>
      </c>
      <c r="I22" s="155">
        <v>0</v>
      </c>
      <c r="J22" s="156">
        <f t="shared" si="0"/>
        <v>0</v>
      </c>
      <c r="K22" s="13">
        <f t="shared" si="1"/>
        <v>0</v>
      </c>
      <c r="L22" s="13">
        <f>+K22+100%</f>
        <v>1</v>
      </c>
      <c r="M22" s="26" t="s">
        <v>562</v>
      </c>
      <c r="N22" s="64" t="s">
        <v>570</v>
      </c>
      <c r="O22" s="60" t="s">
        <v>907</v>
      </c>
      <c r="P22" s="26"/>
    </row>
    <row r="23" spans="1:16" ht="153" customHeight="1" thickBot="1" x14ac:dyDescent="0.3">
      <c r="A23" s="283" t="s">
        <v>571</v>
      </c>
      <c r="B23" s="26" t="s">
        <v>572</v>
      </c>
      <c r="C23" s="26" t="s">
        <v>573</v>
      </c>
      <c r="D23" s="22">
        <v>3</v>
      </c>
      <c r="E23" s="23" t="s">
        <v>37</v>
      </c>
      <c r="F23" s="60" t="s">
        <v>574</v>
      </c>
      <c r="G23" s="155">
        <v>1</v>
      </c>
      <c r="H23" s="155">
        <v>1</v>
      </c>
      <c r="I23" s="155">
        <v>0</v>
      </c>
      <c r="J23" s="156">
        <f t="shared" si="0"/>
        <v>2</v>
      </c>
      <c r="K23" s="13">
        <f t="shared" si="1"/>
        <v>0.66666666666666663</v>
      </c>
      <c r="L23" s="13">
        <f>+K23+100%</f>
        <v>1.6666666666666665</v>
      </c>
      <c r="M23" s="26" t="s">
        <v>581</v>
      </c>
      <c r="N23" s="64" t="s">
        <v>582</v>
      </c>
      <c r="O23" s="60" t="s">
        <v>583</v>
      </c>
      <c r="P23" s="26"/>
    </row>
    <row r="24" spans="1:16" ht="217.5" customHeight="1" thickBot="1" x14ac:dyDescent="0.3">
      <c r="A24" s="283"/>
      <c r="B24" s="26" t="s">
        <v>575</v>
      </c>
      <c r="C24" s="26" t="s">
        <v>576</v>
      </c>
      <c r="D24" s="24">
        <v>1</v>
      </c>
      <c r="E24" s="23" t="s">
        <v>37</v>
      </c>
      <c r="F24" s="60" t="s">
        <v>577</v>
      </c>
      <c r="G24" s="155">
        <v>0</v>
      </c>
      <c r="H24" s="155">
        <v>0</v>
      </c>
      <c r="I24" s="155">
        <v>0</v>
      </c>
      <c r="J24" s="156">
        <f t="shared" si="0"/>
        <v>0</v>
      </c>
      <c r="K24" s="13">
        <f t="shared" si="1"/>
        <v>0</v>
      </c>
      <c r="L24" s="13">
        <f>+K24+100%</f>
        <v>1</v>
      </c>
      <c r="M24" s="26" t="s">
        <v>581</v>
      </c>
      <c r="N24" s="64" t="s">
        <v>584</v>
      </c>
      <c r="O24" s="60" t="s">
        <v>585</v>
      </c>
      <c r="P24" s="26"/>
    </row>
    <row r="25" spans="1:16" ht="133.5" customHeight="1" thickBot="1" x14ac:dyDescent="0.3">
      <c r="A25" s="283"/>
      <c r="B25" s="26" t="s">
        <v>578</v>
      </c>
      <c r="C25" s="26" t="s">
        <v>579</v>
      </c>
      <c r="D25" s="24">
        <v>7</v>
      </c>
      <c r="E25" s="23" t="s">
        <v>60</v>
      </c>
      <c r="F25" s="60" t="s">
        <v>580</v>
      </c>
      <c r="G25" s="155">
        <v>1</v>
      </c>
      <c r="H25" s="155">
        <v>4</v>
      </c>
      <c r="I25" s="155">
        <v>1</v>
      </c>
      <c r="J25" s="156">
        <f t="shared" si="0"/>
        <v>6</v>
      </c>
      <c r="K25" s="13">
        <f t="shared" si="1"/>
        <v>0.8571428571428571</v>
      </c>
      <c r="L25" s="13">
        <f>+K25+71.4285714285715%</f>
        <v>1.5714285714285721</v>
      </c>
      <c r="M25" s="26" t="s">
        <v>581</v>
      </c>
      <c r="N25" s="64" t="s">
        <v>586</v>
      </c>
      <c r="O25" s="60" t="s">
        <v>587</v>
      </c>
      <c r="P25" s="26"/>
    </row>
    <row r="26" spans="1:16" ht="177.75" customHeight="1" thickBot="1" x14ac:dyDescent="0.3">
      <c r="A26" s="283" t="s">
        <v>588</v>
      </c>
      <c r="B26" s="26" t="s">
        <v>589</v>
      </c>
      <c r="C26" s="26" t="s">
        <v>590</v>
      </c>
      <c r="D26" s="24">
        <v>3</v>
      </c>
      <c r="E26" s="23" t="s">
        <v>37</v>
      </c>
      <c r="F26" s="60" t="s">
        <v>591</v>
      </c>
      <c r="G26" s="156">
        <v>0</v>
      </c>
      <c r="H26" s="156">
        <v>0</v>
      </c>
      <c r="I26" s="155">
        <v>1</v>
      </c>
      <c r="J26" s="156">
        <f t="shared" si="0"/>
        <v>1</v>
      </c>
      <c r="K26" s="13">
        <f t="shared" si="1"/>
        <v>0.33333333333333331</v>
      </c>
      <c r="L26" s="13">
        <f>+K26+66.6666666666667%</f>
        <v>1.0000000000000002</v>
      </c>
      <c r="M26" s="26" t="s">
        <v>609</v>
      </c>
      <c r="N26" s="26" t="s">
        <v>39</v>
      </c>
      <c r="O26" s="60" t="s">
        <v>610</v>
      </c>
      <c r="P26" s="97"/>
    </row>
    <row r="27" spans="1:16" ht="123.75" customHeight="1" thickBot="1" x14ac:dyDescent="0.3">
      <c r="A27" s="283"/>
      <c r="B27" s="26" t="s">
        <v>592</v>
      </c>
      <c r="C27" s="26" t="s">
        <v>593</v>
      </c>
      <c r="D27" s="24">
        <v>1</v>
      </c>
      <c r="E27" s="23" t="s">
        <v>37</v>
      </c>
      <c r="F27" s="60" t="s">
        <v>594</v>
      </c>
      <c r="G27" s="156">
        <v>0</v>
      </c>
      <c r="H27" s="156">
        <v>0</v>
      </c>
      <c r="I27" s="155">
        <v>0</v>
      </c>
      <c r="J27" s="156">
        <f t="shared" si="0"/>
        <v>0</v>
      </c>
      <c r="K27" s="13">
        <f t="shared" si="1"/>
        <v>0</v>
      </c>
      <c r="L27" s="13">
        <f>+K27+0%</f>
        <v>0</v>
      </c>
      <c r="M27" s="26" t="s">
        <v>609</v>
      </c>
      <c r="N27" s="26" t="s">
        <v>611</v>
      </c>
      <c r="O27" s="60" t="s">
        <v>612</v>
      </c>
      <c r="P27" s="26"/>
    </row>
    <row r="28" spans="1:16" ht="204.75" customHeight="1" thickBot="1" x14ac:dyDescent="0.3">
      <c r="A28" s="283" t="s">
        <v>595</v>
      </c>
      <c r="B28" s="26" t="s">
        <v>596</v>
      </c>
      <c r="C28" s="26" t="s">
        <v>597</v>
      </c>
      <c r="D28" s="24">
        <v>1</v>
      </c>
      <c r="E28" s="23" t="s">
        <v>37</v>
      </c>
      <c r="F28" s="80" t="s">
        <v>598</v>
      </c>
      <c r="G28" s="156">
        <v>0</v>
      </c>
      <c r="H28" s="156">
        <v>0</v>
      </c>
      <c r="I28" s="155">
        <v>0</v>
      </c>
      <c r="J28" s="156">
        <f t="shared" si="0"/>
        <v>0</v>
      </c>
      <c r="K28" s="13">
        <f t="shared" si="1"/>
        <v>0</v>
      </c>
      <c r="L28" s="13">
        <f>+K28+100%</f>
        <v>1</v>
      </c>
      <c r="M28" s="26" t="s">
        <v>609</v>
      </c>
      <c r="N28" s="84" t="s">
        <v>613</v>
      </c>
      <c r="O28" s="83" t="s">
        <v>614</v>
      </c>
      <c r="P28" s="26"/>
    </row>
    <row r="29" spans="1:16" ht="165" customHeight="1" thickBot="1" x14ac:dyDescent="0.3">
      <c r="A29" s="283"/>
      <c r="B29" s="26" t="s">
        <v>599</v>
      </c>
      <c r="C29" s="26" t="s">
        <v>600</v>
      </c>
      <c r="D29" s="25">
        <v>1</v>
      </c>
      <c r="E29" s="23" t="s">
        <v>37</v>
      </c>
      <c r="F29" s="80" t="s">
        <v>601</v>
      </c>
      <c r="G29" s="156">
        <v>0</v>
      </c>
      <c r="H29" s="156">
        <v>0</v>
      </c>
      <c r="I29" s="155">
        <v>0</v>
      </c>
      <c r="J29" s="156">
        <f t="shared" si="0"/>
        <v>0</v>
      </c>
      <c r="K29" s="13">
        <f t="shared" si="1"/>
        <v>0</v>
      </c>
      <c r="L29" s="13">
        <f>+K29+100%</f>
        <v>1</v>
      </c>
      <c r="M29" s="26" t="s">
        <v>609</v>
      </c>
      <c r="N29" s="84" t="s">
        <v>615</v>
      </c>
      <c r="O29" s="83" t="s">
        <v>616</v>
      </c>
      <c r="P29" s="26"/>
    </row>
    <row r="30" spans="1:16" ht="146.25" customHeight="1" thickBot="1" x14ac:dyDescent="0.3">
      <c r="A30" s="284"/>
      <c r="B30" s="26" t="s">
        <v>602</v>
      </c>
      <c r="C30" s="26" t="s">
        <v>603</v>
      </c>
      <c r="D30" s="25">
        <v>3</v>
      </c>
      <c r="E30" s="23" t="s">
        <v>37</v>
      </c>
      <c r="F30" s="60" t="s">
        <v>604</v>
      </c>
      <c r="G30" s="156">
        <v>0</v>
      </c>
      <c r="H30" s="156">
        <v>0</v>
      </c>
      <c r="I30" s="155">
        <v>1</v>
      </c>
      <c r="J30" s="156">
        <f t="shared" si="0"/>
        <v>1</v>
      </c>
      <c r="K30" s="13">
        <f t="shared" si="1"/>
        <v>0.33333333333333331</v>
      </c>
      <c r="L30" s="13">
        <f>+K30+66.6666666666666%</f>
        <v>0.99999999999999933</v>
      </c>
      <c r="M30" s="26" t="s">
        <v>609</v>
      </c>
      <c r="N30" s="26" t="s">
        <v>39</v>
      </c>
      <c r="O30" s="98" t="s">
        <v>617</v>
      </c>
      <c r="P30" s="26"/>
    </row>
    <row r="31" spans="1:16" ht="131.25" customHeight="1" thickBot="1" x14ac:dyDescent="0.3">
      <c r="A31" s="93" t="s">
        <v>605</v>
      </c>
      <c r="B31" s="96" t="s">
        <v>606</v>
      </c>
      <c r="C31" s="19" t="s">
        <v>607</v>
      </c>
      <c r="D31" s="25">
        <v>13</v>
      </c>
      <c r="E31" s="23" t="s">
        <v>60</v>
      </c>
      <c r="F31" s="60" t="s">
        <v>608</v>
      </c>
      <c r="G31" s="156">
        <v>0</v>
      </c>
      <c r="H31" s="156">
        <v>0</v>
      </c>
      <c r="I31" s="155">
        <v>0</v>
      </c>
      <c r="J31" s="156">
        <f t="shared" si="0"/>
        <v>0</v>
      </c>
      <c r="K31" s="13">
        <f t="shared" si="1"/>
        <v>0</v>
      </c>
      <c r="L31" s="13">
        <f>+K31+169.230769230769%</f>
        <v>1.6923076923076901</v>
      </c>
      <c r="M31" s="26" t="s">
        <v>609</v>
      </c>
      <c r="N31" s="99" t="s">
        <v>618</v>
      </c>
      <c r="O31" s="100" t="s">
        <v>619</v>
      </c>
      <c r="P31" s="27"/>
    </row>
    <row r="32" spans="1:16" ht="159.75" customHeight="1" thickBot="1" x14ac:dyDescent="0.3">
      <c r="A32" s="283" t="s">
        <v>620</v>
      </c>
      <c r="B32" s="26" t="s">
        <v>621</v>
      </c>
      <c r="C32" s="26" t="s">
        <v>622</v>
      </c>
      <c r="D32" s="25">
        <v>6</v>
      </c>
      <c r="E32" s="23" t="s">
        <v>37</v>
      </c>
      <c r="F32" s="60" t="s">
        <v>623</v>
      </c>
      <c r="G32" s="155">
        <v>0</v>
      </c>
      <c r="H32" s="155">
        <v>0</v>
      </c>
      <c r="I32" s="155">
        <v>0</v>
      </c>
      <c r="J32" s="156">
        <f t="shared" si="0"/>
        <v>0</v>
      </c>
      <c r="K32" s="13">
        <f t="shared" si="1"/>
        <v>0</v>
      </c>
      <c r="L32" s="13">
        <f>+K32+0%</f>
        <v>0</v>
      </c>
      <c r="M32" s="26" t="s">
        <v>627</v>
      </c>
      <c r="N32" s="64" t="s">
        <v>628</v>
      </c>
      <c r="O32" s="60" t="s">
        <v>629</v>
      </c>
      <c r="P32" s="26"/>
    </row>
    <row r="33" spans="1:16" ht="148.5" customHeight="1" thickBot="1" x14ac:dyDescent="0.3">
      <c r="A33" s="283"/>
      <c r="B33" s="26" t="s">
        <v>624</v>
      </c>
      <c r="C33" s="26" t="s">
        <v>625</v>
      </c>
      <c r="D33" s="25">
        <v>1</v>
      </c>
      <c r="E33" s="23" t="s">
        <v>60</v>
      </c>
      <c r="F33" s="60" t="s">
        <v>626</v>
      </c>
      <c r="G33" s="155">
        <v>0</v>
      </c>
      <c r="H33" s="155">
        <v>0</v>
      </c>
      <c r="I33" s="155">
        <v>0</v>
      </c>
      <c r="J33" s="156">
        <f t="shared" si="0"/>
        <v>0</v>
      </c>
      <c r="K33" s="13">
        <f t="shared" si="1"/>
        <v>0</v>
      </c>
      <c r="L33" s="13">
        <f>+K33+0%</f>
        <v>0</v>
      </c>
      <c r="M33" s="26" t="s">
        <v>627</v>
      </c>
      <c r="N33" s="26" t="s">
        <v>112</v>
      </c>
      <c r="O33" s="60" t="s">
        <v>630</v>
      </c>
      <c r="P33" s="26"/>
    </row>
    <row r="34" spans="1:16" x14ac:dyDescent="0.25">
      <c r="A34" s="14"/>
      <c r="B34" s="14"/>
      <c r="C34" s="14"/>
      <c r="D34" s="14"/>
      <c r="E34" s="14"/>
      <c r="F34" s="15"/>
      <c r="G34" s="14"/>
      <c r="H34" s="14"/>
      <c r="I34" s="14"/>
      <c r="J34" s="14"/>
      <c r="K34" s="14"/>
      <c r="L34" s="14"/>
      <c r="M34" s="15"/>
      <c r="N34" s="15"/>
      <c r="O34" s="15"/>
    </row>
    <row r="35" spans="1:16" x14ac:dyDescent="0.25">
      <c r="A35" s="14"/>
      <c r="B35" s="14"/>
      <c r="C35" s="14"/>
      <c r="D35" s="14"/>
      <c r="E35" s="14"/>
      <c r="F35" s="15"/>
      <c r="G35" s="14"/>
      <c r="H35" s="14"/>
      <c r="I35" s="14"/>
      <c r="J35" s="14"/>
      <c r="K35" s="14"/>
      <c r="L35" s="14"/>
      <c r="M35" s="15"/>
      <c r="N35" s="15"/>
      <c r="O35" s="15"/>
    </row>
    <row r="36" spans="1:16" x14ac:dyDescent="0.25">
      <c r="A36" s="14"/>
      <c r="B36" s="14"/>
      <c r="C36" s="14"/>
      <c r="D36" s="14"/>
      <c r="E36" s="14"/>
      <c r="F36" s="15"/>
      <c r="G36" s="14"/>
      <c r="H36" s="14"/>
      <c r="I36" s="14"/>
      <c r="J36" s="14"/>
      <c r="K36" s="14"/>
      <c r="L36" s="14"/>
      <c r="M36" s="15"/>
      <c r="N36" s="15"/>
      <c r="O36" s="15"/>
    </row>
    <row r="37" spans="1:16" x14ac:dyDescent="0.25">
      <c r="A37" s="14"/>
      <c r="B37" s="14"/>
      <c r="C37" s="14"/>
      <c r="D37" s="14"/>
      <c r="E37" s="14"/>
      <c r="F37" s="15"/>
      <c r="G37" s="14"/>
      <c r="H37" s="14"/>
      <c r="I37" s="14"/>
      <c r="J37" s="14"/>
      <c r="K37" s="14"/>
      <c r="L37" s="14"/>
      <c r="M37" s="15"/>
      <c r="N37" s="15"/>
      <c r="O37" s="15"/>
    </row>
    <row r="38" spans="1:16" x14ac:dyDescent="0.25">
      <c r="A38" s="15"/>
      <c r="B38" s="15"/>
      <c r="C38" s="15"/>
      <c r="D38" s="15"/>
      <c r="E38" s="15"/>
      <c r="F38" s="15"/>
      <c r="G38" s="15"/>
      <c r="H38" s="15"/>
      <c r="I38" s="15"/>
      <c r="J38" s="15"/>
      <c r="K38" s="15"/>
      <c r="L38" s="15"/>
      <c r="M38" s="15"/>
      <c r="N38" s="15"/>
      <c r="O38" s="15"/>
    </row>
    <row r="39" spans="1:16" x14ac:dyDescent="0.25">
      <c r="A39" s="15"/>
      <c r="B39" s="15"/>
      <c r="C39" s="15"/>
      <c r="D39" s="15"/>
      <c r="E39" s="15"/>
      <c r="F39" s="15"/>
      <c r="G39" s="15"/>
      <c r="H39" s="15"/>
      <c r="I39" s="15"/>
      <c r="J39" s="15"/>
      <c r="K39" s="15"/>
      <c r="L39" s="15"/>
      <c r="M39" s="15"/>
      <c r="N39" s="15"/>
      <c r="O39" s="15"/>
    </row>
    <row r="40" spans="1:16" x14ac:dyDescent="0.25">
      <c r="A40" s="15"/>
      <c r="B40" s="15"/>
      <c r="C40" s="15"/>
      <c r="D40" s="15"/>
      <c r="E40" s="15"/>
      <c r="F40" s="15"/>
      <c r="G40" s="15"/>
      <c r="H40" s="15"/>
      <c r="I40" s="15"/>
      <c r="J40" s="15"/>
      <c r="K40" s="15"/>
      <c r="L40" s="15"/>
      <c r="M40" s="15"/>
      <c r="N40" s="15"/>
      <c r="O40" s="15"/>
    </row>
    <row r="41" spans="1:16" x14ac:dyDescent="0.25">
      <c r="A41" s="15"/>
      <c r="B41" s="15"/>
      <c r="C41" s="15"/>
      <c r="D41" s="15"/>
      <c r="E41" s="15"/>
      <c r="F41" s="15"/>
      <c r="G41" s="15"/>
      <c r="H41" s="15"/>
      <c r="I41" s="15"/>
      <c r="J41" s="15"/>
      <c r="K41" s="15"/>
      <c r="L41" s="15"/>
      <c r="M41" s="15"/>
      <c r="N41" s="15"/>
      <c r="O41" s="15"/>
    </row>
    <row r="42" spans="1:16" x14ac:dyDescent="0.25">
      <c r="A42" s="15"/>
      <c r="B42" s="15"/>
      <c r="C42" s="15"/>
      <c r="D42" s="15"/>
      <c r="E42" s="15"/>
      <c r="F42" s="15"/>
      <c r="G42" s="15"/>
      <c r="H42" s="15"/>
      <c r="I42" s="15"/>
      <c r="J42" s="15"/>
      <c r="K42" s="15"/>
      <c r="L42" s="15"/>
      <c r="M42" s="15"/>
      <c r="N42" s="15"/>
      <c r="O42" s="15"/>
    </row>
    <row r="43" spans="1:16" x14ac:dyDescent="0.25">
      <c r="A43" s="15"/>
      <c r="B43" s="15"/>
      <c r="C43" s="15"/>
      <c r="D43" s="15"/>
      <c r="E43" s="15"/>
      <c r="F43" s="15"/>
      <c r="G43" s="15"/>
      <c r="H43" s="15"/>
      <c r="I43" s="15"/>
      <c r="J43" s="15"/>
      <c r="K43" s="15"/>
      <c r="L43" s="15"/>
      <c r="M43" s="15"/>
      <c r="N43" s="15"/>
      <c r="O43" s="15"/>
    </row>
    <row r="44" spans="1:16" ht="15" customHeight="1" x14ac:dyDescent="0.25">
      <c r="A44" s="277"/>
      <c r="B44" s="277"/>
      <c r="C44" s="277"/>
      <c r="D44" s="277"/>
      <c r="E44" s="277"/>
      <c r="F44" s="277"/>
      <c r="G44" s="277"/>
      <c r="H44" s="277"/>
      <c r="I44" s="277"/>
      <c r="J44" s="277"/>
      <c r="K44" s="16"/>
      <c r="L44" s="16"/>
    </row>
    <row r="45" spans="1:16" x14ac:dyDescent="0.25">
      <c r="A45" s="277"/>
      <c r="B45" s="277"/>
      <c r="C45" s="277"/>
      <c r="D45" s="277"/>
      <c r="E45" s="277"/>
      <c r="F45" s="277"/>
      <c r="G45" s="277"/>
      <c r="H45" s="277"/>
      <c r="I45" s="277"/>
      <c r="J45" s="277"/>
      <c r="K45" s="16"/>
      <c r="L45" s="16"/>
    </row>
  </sheetData>
  <mergeCells count="21">
    <mergeCell ref="A12:P13"/>
    <mergeCell ref="A6:P6"/>
    <mergeCell ref="A7:P7"/>
    <mergeCell ref="A8:P8"/>
    <mergeCell ref="A9:P9"/>
    <mergeCell ref="A10:P11"/>
    <mergeCell ref="O14:O15"/>
    <mergeCell ref="P14:P15"/>
    <mergeCell ref="A44:J45"/>
    <mergeCell ref="A16:A17"/>
    <mergeCell ref="A18:A19"/>
    <mergeCell ref="A23:A25"/>
    <mergeCell ref="A26:A27"/>
    <mergeCell ref="A28:A30"/>
    <mergeCell ref="A32:A33"/>
    <mergeCell ref="A14:A15"/>
    <mergeCell ref="B14:E14"/>
    <mergeCell ref="F14:F15"/>
    <mergeCell ref="G14:L14"/>
    <mergeCell ref="M14:M15"/>
    <mergeCell ref="N14:N15"/>
  </mergeCells>
  <printOptions horizontalCentered="1" verticalCentered="1"/>
  <pageMargins left="3.937007874015748E-2" right="3.937007874015748E-2" top="0.35433070866141736" bottom="0.39370078740157483" header="0.31496062992125984" footer="0.23622047244094491"/>
  <pageSetup scale="34" fitToHeight="0" orientation="landscape" r:id="rId1"/>
  <rowBreaks count="3" manualBreakCount="3">
    <brk id="17" max="15" man="1"/>
    <brk id="22" max="15" man="1"/>
    <brk id="2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P47"/>
  <sheetViews>
    <sheetView showGridLines="0" zoomScale="25" zoomScaleNormal="25" zoomScaleSheetLayoutView="20" workbookViewId="0">
      <selection activeCell="M29" sqref="M29:M33"/>
    </sheetView>
  </sheetViews>
  <sheetFormatPr baseColWidth="10" defaultColWidth="11.42578125" defaultRowHeight="15" x14ac:dyDescent="0.25"/>
  <cols>
    <col min="1" max="1" width="36.85546875" style="10" customWidth="1"/>
    <col min="2" max="2" width="27.140625" style="10" customWidth="1"/>
    <col min="3" max="3" width="25.85546875" style="10" customWidth="1"/>
    <col min="4" max="5" width="20.7109375" style="10" customWidth="1"/>
    <col min="6" max="6" width="61.8554687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34.7109375" style="10" customWidth="1"/>
    <col min="15" max="15" width="33"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97</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99" t="s">
        <v>631</v>
      </c>
      <c r="B16" s="303" t="s">
        <v>632</v>
      </c>
      <c r="C16" s="101" t="s">
        <v>633</v>
      </c>
      <c r="D16" s="20">
        <v>1</v>
      </c>
      <c r="E16" s="23" t="s">
        <v>60</v>
      </c>
      <c r="F16" s="304" t="s">
        <v>634</v>
      </c>
      <c r="G16" s="155">
        <v>0</v>
      </c>
      <c r="H16" s="155">
        <v>0</v>
      </c>
      <c r="I16" s="156">
        <v>0</v>
      </c>
      <c r="J16" s="156">
        <f>+SUM(G16:I16)</f>
        <v>0</v>
      </c>
      <c r="K16" s="13">
        <f>+IFERROR(J16/D16,"-")</f>
        <v>0</v>
      </c>
      <c r="L16" s="13">
        <f>+K16+100%</f>
        <v>1</v>
      </c>
      <c r="M16" s="299" t="s">
        <v>685</v>
      </c>
      <c r="N16" s="299" t="s">
        <v>686</v>
      </c>
      <c r="O16" s="300" t="s">
        <v>687</v>
      </c>
      <c r="P16" s="111"/>
    </row>
    <row r="17" spans="1:16" ht="99.95" customHeight="1" thickBot="1" x14ac:dyDescent="0.3">
      <c r="A17" s="299"/>
      <c r="B17" s="303"/>
      <c r="C17" s="101" t="s">
        <v>635</v>
      </c>
      <c r="D17" s="22">
        <v>1</v>
      </c>
      <c r="E17" s="23" t="s">
        <v>60</v>
      </c>
      <c r="F17" s="304"/>
      <c r="G17" s="155">
        <v>0</v>
      </c>
      <c r="H17" s="155">
        <v>0</v>
      </c>
      <c r="I17" s="156">
        <v>0</v>
      </c>
      <c r="J17" s="156">
        <f t="shared" ref="J17:J35" si="0">+SUM(G17:I17)</f>
        <v>0</v>
      </c>
      <c r="K17" s="13">
        <f t="shared" ref="K17:K34" si="1">+IFERROR(J17/D17,"-")</f>
        <v>0</v>
      </c>
      <c r="L17" s="13">
        <f>+K17+0%</f>
        <v>0</v>
      </c>
      <c r="M17" s="299"/>
      <c r="N17" s="299"/>
      <c r="O17" s="301"/>
      <c r="P17" s="111"/>
    </row>
    <row r="18" spans="1:16" ht="99.95" customHeight="1" thickBot="1" x14ac:dyDescent="0.3">
      <c r="A18" s="299"/>
      <c r="B18" s="102" t="s">
        <v>636</v>
      </c>
      <c r="C18" s="101" t="s">
        <v>903</v>
      </c>
      <c r="D18" s="24">
        <v>7</v>
      </c>
      <c r="E18" s="23" t="s">
        <v>37</v>
      </c>
      <c r="F18" s="304"/>
      <c r="G18" s="155">
        <v>0</v>
      </c>
      <c r="H18" s="155">
        <v>0</v>
      </c>
      <c r="I18" s="156">
        <v>0</v>
      </c>
      <c r="J18" s="156">
        <f t="shared" si="0"/>
        <v>0</v>
      </c>
      <c r="K18" s="13">
        <f t="shared" si="1"/>
        <v>0</v>
      </c>
      <c r="L18" s="13">
        <f>+K18+100%</f>
        <v>1</v>
      </c>
      <c r="M18" s="299"/>
      <c r="N18" s="299"/>
      <c r="O18" s="301"/>
      <c r="P18" s="111"/>
    </row>
    <row r="19" spans="1:16" ht="99.95" customHeight="1" thickBot="1" x14ac:dyDescent="0.3">
      <c r="A19" s="299"/>
      <c r="B19" s="163" t="s">
        <v>637</v>
      </c>
      <c r="C19" s="101" t="s">
        <v>635</v>
      </c>
      <c r="D19" s="25">
        <v>3</v>
      </c>
      <c r="E19" s="23" t="s">
        <v>60</v>
      </c>
      <c r="F19" s="304"/>
      <c r="G19" s="155">
        <v>0</v>
      </c>
      <c r="H19" s="155">
        <v>0</v>
      </c>
      <c r="I19" s="156">
        <v>0</v>
      </c>
      <c r="J19" s="156">
        <f t="shared" si="0"/>
        <v>0</v>
      </c>
      <c r="K19" s="13">
        <f t="shared" si="1"/>
        <v>0</v>
      </c>
      <c r="L19" s="13">
        <f>+K19+33.3333333333333%</f>
        <v>0.33333333333333298</v>
      </c>
      <c r="M19" s="299"/>
      <c r="N19" s="299"/>
      <c r="O19" s="302"/>
      <c r="P19" s="111"/>
    </row>
    <row r="20" spans="1:16" ht="158.25" customHeight="1" thickBot="1" x14ac:dyDescent="0.3">
      <c r="A20" s="102" t="s">
        <v>638</v>
      </c>
      <c r="B20" s="102" t="s">
        <v>639</v>
      </c>
      <c r="C20" s="101" t="s">
        <v>640</v>
      </c>
      <c r="D20" s="24">
        <v>9</v>
      </c>
      <c r="E20" s="23" t="s">
        <v>37</v>
      </c>
      <c r="F20" s="103" t="s">
        <v>641</v>
      </c>
      <c r="G20" s="155">
        <v>0</v>
      </c>
      <c r="H20" s="155">
        <v>0</v>
      </c>
      <c r="I20" s="156">
        <v>0</v>
      </c>
      <c r="J20" s="156">
        <f t="shared" si="0"/>
        <v>0</v>
      </c>
      <c r="K20" s="13">
        <f t="shared" si="1"/>
        <v>0</v>
      </c>
      <c r="L20" s="13">
        <f>+K20+22.2222222222222%</f>
        <v>0.22222222222222199</v>
      </c>
      <c r="M20" s="102" t="s">
        <v>688</v>
      </c>
      <c r="N20" s="102" t="s">
        <v>689</v>
      </c>
      <c r="O20" s="109" t="s">
        <v>690</v>
      </c>
      <c r="P20" s="111"/>
    </row>
    <row r="21" spans="1:16" ht="161.25" customHeight="1" thickBot="1" x14ac:dyDescent="0.3">
      <c r="A21" s="306" t="s">
        <v>642</v>
      </c>
      <c r="B21" s="306" t="s">
        <v>643</v>
      </c>
      <c r="C21" s="104" t="s">
        <v>644</v>
      </c>
      <c r="D21" s="20">
        <v>1</v>
      </c>
      <c r="E21" s="23" t="s">
        <v>60</v>
      </c>
      <c r="F21" s="103" t="s">
        <v>645</v>
      </c>
      <c r="G21" s="155">
        <v>0</v>
      </c>
      <c r="H21" s="155">
        <v>0</v>
      </c>
      <c r="I21" s="156">
        <v>0</v>
      </c>
      <c r="J21" s="156">
        <f t="shared" si="0"/>
        <v>0</v>
      </c>
      <c r="K21" s="13">
        <f t="shared" si="1"/>
        <v>0</v>
      </c>
      <c r="L21" s="13">
        <f>+K21+0%</f>
        <v>0</v>
      </c>
      <c r="M21" s="102" t="s">
        <v>691</v>
      </c>
      <c r="N21" s="102" t="s">
        <v>692</v>
      </c>
      <c r="O21" s="109" t="s">
        <v>693</v>
      </c>
      <c r="P21" s="111"/>
    </row>
    <row r="22" spans="1:16" ht="159.75" customHeight="1" thickBot="1" x14ac:dyDescent="0.3">
      <c r="A22" s="308"/>
      <c r="B22" s="308"/>
      <c r="C22" s="101" t="s">
        <v>646</v>
      </c>
      <c r="D22" s="20">
        <v>133</v>
      </c>
      <c r="E22" s="23" t="s">
        <v>37</v>
      </c>
      <c r="F22" s="103" t="s">
        <v>647</v>
      </c>
      <c r="G22" s="155">
        <v>0</v>
      </c>
      <c r="H22" s="155">
        <v>0</v>
      </c>
      <c r="I22" s="156">
        <v>0</v>
      </c>
      <c r="J22" s="156">
        <f t="shared" si="0"/>
        <v>0</v>
      </c>
      <c r="K22" s="13">
        <f t="shared" si="1"/>
        <v>0</v>
      </c>
      <c r="L22" s="13">
        <f>+K22+13.5338345864662%</f>
        <v>0.13533834586466201</v>
      </c>
      <c r="M22" s="102" t="s">
        <v>694</v>
      </c>
      <c r="N22" s="102" t="s">
        <v>695</v>
      </c>
      <c r="O22" s="109" t="s">
        <v>696</v>
      </c>
      <c r="P22" s="111"/>
    </row>
    <row r="23" spans="1:16" ht="195.75" customHeight="1" thickBot="1" x14ac:dyDescent="0.3">
      <c r="A23" s="306" t="s">
        <v>642</v>
      </c>
      <c r="B23" s="306" t="s">
        <v>643</v>
      </c>
      <c r="C23" s="159" t="s">
        <v>648</v>
      </c>
      <c r="D23" s="22">
        <v>200</v>
      </c>
      <c r="E23" s="23" t="s">
        <v>37</v>
      </c>
      <c r="F23" s="103" t="s">
        <v>649</v>
      </c>
      <c r="G23" s="155">
        <v>0</v>
      </c>
      <c r="H23" s="155">
        <v>0</v>
      </c>
      <c r="I23" s="156">
        <v>0</v>
      </c>
      <c r="J23" s="156">
        <f t="shared" si="0"/>
        <v>0</v>
      </c>
      <c r="K23" s="13">
        <f t="shared" si="1"/>
        <v>0</v>
      </c>
      <c r="L23" s="13">
        <f>+K23+100%</f>
        <v>1</v>
      </c>
      <c r="M23" s="102" t="s">
        <v>694</v>
      </c>
      <c r="N23" s="102" t="s">
        <v>112</v>
      </c>
      <c r="O23" s="109" t="s">
        <v>697</v>
      </c>
      <c r="P23" s="111"/>
    </row>
    <row r="24" spans="1:16" ht="147" customHeight="1" thickBot="1" x14ac:dyDescent="0.3">
      <c r="A24" s="307"/>
      <c r="B24" s="307"/>
      <c r="C24" s="159" t="s">
        <v>650</v>
      </c>
      <c r="D24" s="24">
        <v>126</v>
      </c>
      <c r="E24" s="23" t="s">
        <v>37</v>
      </c>
      <c r="F24" s="103" t="s">
        <v>651</v>
      </c>
      <c r="G24" s="155">
        <v>0</v>
      </c>
      <c r="H24" s="155">
        <v>0</v>
      </c>
      <c r="I24" s="156">
        <v>0</v>
      </c>
      <c r="J24" s="156">
        <f t="shared" si="0"/>
        <v>0</v>
      </c>
      <c r="K24" s="13">
        <f t="shared" si="1"/>
        <v>0</v>
      </c>
      <c r="L24" s="13">
        <f>+K24+100%</f>
        <v>1</v>
      </c>
      <c r="M24" s="102" t="s">
        <v>698</v>
      </c>
      <c r="N24" s="102" t="s">
        <v>112</v>
      </c>
      <c r="O24" s="109" t="s">
        <v>699</v>
      </c>
      <c r="P24" s="111"/>
    </row>
    <row r="25" spans="1:16" ht="172.5" customHeight="1" thickBot="1" x14ac:dyDescent="0.3">
      <c r="A25" s="308"/>
      <c r="B25" s="308"/>
      <c r="C25" s="105" t="s">
        <v>652</v>
      </c>
      <c r="D25" s="24">
        <v>3</v>
      </c>
      <c r="E25" s="23" t="s">
        <v>37</v>
      </c>
      <c r="F25" s="103" t="s">
        <v>653</v>
      </c>
      <c r="G25" s="155">
        <v>0</v>
      </c>
      <c r="H25" s="155">
        <v>0</v>
      </c>
      <c r="I25" s="156">
        <v>0</v>
      </c>
      <c r="J25" s="156">
        <f t="shared" si="0"/>
        <v>0</v>
      </c>
      <c r="K25" s="13">
        <f t="shared" si="1"/>
        <v>0</v>
      </c>
      <c r="L25" s="13">
        <f>+K25+33.3333333333333%</f>
        <v>0.33333333333333298</v>
      </c>
      <c r="M25" s="102" t="s">
        <v>700</v>
      </c>
      <c r="N25" s="102" t="s">
        <v>695</v>
      </c>
      <c r="O25" s="103" t="s">
        <v>701</v>
      </c>
      <c r="P25" s="111"/>
    </row>
    <row r="26" spans="1:16" ht="222.75" customHeight="1" thickBot="1" x14ac:dyDescent="0.3">
      <c r="A26" s="305" t="s">
        <v>654</v>
      </c>
      <c r="B26" s="160" t="s">
        <v>655</v>
      </c>
      <c r="C26" s="107" t="s">
        <v>656</v>
      </c>
      <c r="D26" s="24">
        <v>74</v>
      </c>
      <c r="E26" s="23" t="s">
        <v>37</v>
      </c>
      <c r="F26" s="103" t="s">
        <v>657</v>
      </c>
      <c r="G26" s="155">
        <v>25</v>
      </c>
      <c r="H26" s="155">
        <v>0</v>
      </c>
      <c r="I26" s="156">
        <v>0</v>
      </c>
      <c r="J26" s="156">
        <f t="shared" si="0"/>
        <v>25</v>
      </c>
      <c r="K26" s="13">
        <f t="shared" si="1"/>
        <v>0.33783783783783783</v>
      </c>
      <c r="L26" s="13">
        <f>+K26+17.5675675675676%</f>
        <v>0.51351351351351382</v>
      </c>
      <c r="M26" s="102" t="s">
        <v>702</v>
      </c>
      <c r="N26" s="102" t="s">
        <v>695</v>
      </c>
      <c r="O26" s="109" t="s">
        <v>703</v>
      </c>
      <c r="P26" s="111"/>
    </row>
    <row r="27" spans="1:16" ht="168" customHeight="1" thickBot="1" x14ac:dyDescent="0.3">
      <c r="A27" s="305"/>
      <c r="B27" s="106" t="s">
        <v>658</v>
      </c>
      <c r="C27" s="107" t="s">
        <v>659</v>
      </c>
      <c r="D27" s="24">
        <v>1</v>
      </c>
      <c r="E27" s="23" t="s">
        <v>37</v>
      </c>
      <c r="F27" s="103" t="s">
        <v>660</v>
      </c>
      <c r="G27" s="155">
        <v>0</v>
      </c>
      <c r="H27" s="155">
        <v>0</v>
      </c>
      <c r="I27" s="156">
        <v>0</v>
      </c>
      <c r="J27" s="156">
        <f t="shared" si="0"/>
        <v>0</v>
      </c>
      <c r="K27" s="13">
        <f t="shared" si="1"/>
        <v>0</v>
      </c>
      <c r="L27" s="13">
        <f>+K27+100%</f>
        <v>1</v>
      </c>
      <c r="M27" s="102" t="s">
        <v>702</v>
      </c>
      <c r="N27" s="102" t="s">
        <v>704</v>
      </c>
      <c r="O27" s="109" t="s">
        <v>904</v>
      </c>
      <c r="P27" s="111"/>
    </row>
    <row r="28" spans="1:16" ht="409.6" customHeight="1" thickBot="1" x14ac:dyDescent="0.3">
      <c r="A28" s="305"/>
      <c r="B28" s="159" t="s">
        <v>661</v>
      </c>
      <c r="C28" s="101" t="s">
        <v>662</v>
      </c>
      <c r="D28" s="24">
        <v>3</v>
      </c>
      <c r="E28" s="23" t="s">
        <v>37</v>
      </c>
      <c r="F28" s="108" t="s">
        <v>663</v>
      </c>
      <c r="G28" s="155">
        <v>0</v>
      </c>
      <c r="H28" s="155">
        <v>0</v>
      </c>
      <c r="I28" s="156">
        <v>0</v>
      </c>
      <c r="J28" s="156">
        <f t="shared" si="0"/>
        <v>0</v>
      </c>
      <c r="K28" s="13">
        <f t="shared" si="1"/>
        <v>0</v>
      </c>
      <c r="L28" s="13">
        <f>+K28+33.3333333333333%</f>
        <v>0.33333333333333298</v>
      </c>
      <c r="M28" s="169" t="s">
        <v>691</v>
      </c>
      <c r="N28" s="102" t="s">
        <v>705</v>
      </c>
      <c r="O28" s="108" t="s">
        <v>706</v>
      </c>
      <c r="P28" s="111"/>
    </row>
    <row r="29" spans="1:16" ht="293.25" customHeight="1" thickBot="1" x14ac:dyDescent="0.3">
      <c r="A29" s="306" t="s">
        <v>664</v>
      </c>
      <c r="B29" s="305" t="s">
        <v>665</v>
      </c>
      <c r="C29" s="102" t="s">
        <v>666</v>
      </c>
      <c r="D29" s="25">
        <v>2</v>
      </c>
      <c r="E29" s="23" t="s">
        <v>60</v>
      </c>
      <c r="F29" s="109" t="s">
        <v>667</v>
      </c>
      <c r="G29" s="155">
        <v>0</v>
      </c>
      <c r="H29" s="155">
        <v>0</v>
      </c>
      <c r="I29" s="156">
        <v>0</v>
      </c>
      <c r="J29" s="156">
        <f t="shared" si="0"/>
        <v>0</v>
      </c>
      <c r="K29" s="13">
        <f t="shared" si="1"/>
        <v>0</v>
      </c>
      <c r="L29" s="13">
        <f>+K29+0%</f>
        <v>0</v>
      </c>
      <c r="M29" s="309" t="s">
        <v>691</v>
      </c>
      <c r="N29" s="102" t="s">
        <v>707</v>
      </c>
      <c r="O29" s="109" t="s">
        <v>708</v>
      </c>
      <c r="P29" s="111"/>
    </row>
    <row r="30" spans="1:16" ht="272.25" customHeight="1" thickBot="1" x14ac:dyDescent="0.3">
      <c r="A30" s="307"/>
      <c r="B30" s="305"/>
      <c r="C30" s="102" t="s">
        <v>668</v>
      </c>
      <c r="D30" s="25">
        <v>1</v>
      </c>
      <c r="E30" s="23" t="s">
        <v>60</v>
      </c>
      <c r="F30" s="108" t="s">
        <v>669</v>
      </c>
      <c r="G30" s="155">
        <v>0</v>
      </c>
      <c r="H30" s="155">
        <v>0</v>
      </c>
      <c r="I30" s="156">
        <v>0</v>
      </c>
      <c r="J30" s="156">
        <f t="shared" si="0"/>
        <v>0</v>
      </c>
      <c r="K30" s="13">
        <f t="shared" si="1"/>
        <v>0</v>
      </c>
      <c r="L30" s="13">
        <f>+K30+0%</f>
        <v>0</v>
      </c>
      <c r="M30" s="310"/>
      <c r="N30" s="102" t="s">
        <v>709</v>
      </c>
      <c r="O30" s="108" t="s">
        <v>710</v>
      </c>
      <c r="P30" s="111"/>
    </row>
    <row r="31" spans="1:16" ht="395.25" customHeight="1" thickBot="1" x14ac:dyDescent="0.3">
      <c r="A31" s="307"/>
      <c r="B31" s="305"/>
      <c r="C31" s="102" t="s">
        <v>670</v>
      </c>
      <c r="D31" s="25">
        <v>2</v>
      </c>
      <c r="E31" s="23" t="s">
        <v>37</v>
      </c>
      <c r="F31" s="109" t="s">
        <v>671</v>
      </c>
      <c r="G31" s="155">
        <v>0</v>
      </c>
      <c r="H31" s="155">
        <v>0</v>
      </c>
      <c r="I31" s="156">
        <v>0</v>
      </c>
      <c r="J31" s="156">
        <f t="shared" si="0"/>
        <v>0</v>
      </c>
      <c r="K31" s="13">
        <f t="shared" si="1"/>
        <v>0</v>
      </c>
      <c r="L31" s="13">
        <f>+K31+50%</f>
        <v>0.5</v>
      </c>
      <c r="M31" s="310"/>
      <c r="N31" s="102" t="s">
        <v>705</v>
      </c>
      <c r="O31" s="109" t="s">
        <v>711</v>
      </c>
      <c r="P31" s="111"/>
    </row>
    <row r="32" spans="1:16" ht="409.6" customHeight="1" thickBot="1" x14ac:dyDescent="0.3">
      <c r="A32" s="307"/>
      <c r="B32" s="305"/>
      <c r="C32" s="102" t="s">
        <v>672</v>
      </c>
      <c r="D32" s="25">
        <v>3</v>
      </c>
      <c r="E32" s="23" t="s">
        <v>60</v>
      </c>
      <c r="F32" s="108" t="s">
        <v>673</v>
      </c>
      <c r="G32" s="155">
        <v>0</v>
      </c>
      <c r="H32" s="155">
        <v>0</v>
      </c>
      <c r="I32" s="156">
        <v>0</v>
      </c>
      <c r="J32" s="156">
        <f t="shared" si="0"/>
        <v>0</v>
      </c>
      <c r="K32" s="13">
        <f t="shared" si="1"/>
        <v>0</v>
      </c>
      <c r="L32" s="13">
        <f>+K32+0%</f>
        <v>0</v>
      </c>
      <c r="M32" s="310"/>
      <c r="N32" s="102" t="s">
        <v>705</v>
      </c>
      <c r="O32" s="108" t="s">
        <v>712</v>
      </c>
      <c r="P32" s="111"/>
    </row>
    <row r="33" spans="1:16" ht="99.95" customHeight="1" thickBot="1" x14ac:dyDescent="0.3">
      <c r="A33" s="308"/>
      <c r="B33" s="305"/>
      <c r="C33" s="101" t="s">
        <v>674</v>
      </c>
      <c r="D33" s="25">
        <v>12</v>
      </c>
      <c r="E33" s="23" t="s">
        <v>60</v>
      </c>
      <c r="F33" s="108" t="s">
        <v>675</v>
      </c>
      <c r="G33" s="155">
        <v>0</v>
      </c>
      <c r="H33" s="155">
        <v>0</v>
      </c>
      <c r="I33" s="156">
        <v>0</v>
      </c>
      <c r="J33" s="156">
        <f t="shared" si="0"/>
        <v>0</v>
      </c>
      <c r="K33" s="13">
        <f t="shared" si="1"/>
        <v>0</v>
      </c>
      <c r="L33" s="13">
        <f>+K33+25%</f>
        <v>0.25</v>
      </c>
      <c r="M33" s="336"/>
      <c r="N33" s="102" t="s">
        <v>698</v>
      </c>
      <c r="O33" s="108" t="s">
        <v>713</v>
      </c>
      <c r="P33" s="111"/>
    </row>
    <row r="34" spans="1:16" ht="279.75" customHeight="1" thickBot="1" x14ac:dyDescent="0.3">
      <c r="A34" s="306" t="s">
        <v>664</v>
      </c>
      <c r="B34" s="305" t="s">
        <v>676</v>
      </c>
      <c r="C34" s="104" t="s">
        <v>677</v>
      </c>
      <c r="D34" s="25">
        <v>1</v>
      </c>
      <c r="E34" s="23" t="s">
        <v>37</v>
      </c>
      <c r="F34" s="110" t="s">
        <v>678</v>
      </c>
      <c r="G34" s="155">
        <v>0</v>
      </c>
      <c r="H34" s="155">
        <v>0</v>
      </c>
      <c r="I34" s="156">
        <v>0</v>
      </c>
      <c r="J34" s="156">
        <f t="shared" si="0"/>
        <v>0</v>
      </c>
      <c r="K34" s="13">
        <f t="shared" si="1"/>
        <v>0</v>
      </c>
      <c r="L34" s="13">
        <f>+K34+0%</f>
        <v>0</v>
      </c>
      <c r="M34" s="311" t="s">
        <v>691</v>
      </c>
      <c r="N34" s="102" t="s">
        <v>707</v>
      </c>
      <c r="O34" s="109" t="s">
        <v>714</v>
      </c>
      <c r="P34" s="111"/>
    </row>
    <row r="35" spans="1:16" ht="344.25" customHeight="1" thickBot="1" x14ac:dyDescent="0.3">
      <c r="A35" s="307"/>
      <c r="B35" s="305"/>
      <c r="C35" s="104" t="s">
        <v>679</v>
      </c>
      <c r="D35" s="25">
        <v>3</v>
      </c>
      <c r="E35" s="23" t="s">
        <v>37</v>
      </c>
      <c r="F35" s="110" t="s">
        <v>680</v>
      </c>
      <c r="G35" s="155">
        <v>0</v>
      </c>
      <c r="H35" s="155">
        <v>0</v>
      </c>
      <c r="I35" s="156">
        <v>0</v>
      </c>
      <c r="J35" s="156">
        <f t="shared" si="0"/>
        <v>0</v>
      </c>
      <c r="K35" s="13">
        <f>+IFERROR(J35/D35,"-")</f>
        <v>0</v>
      </c>
      <c r="L35" s="13">
        <f>+K35+100%</f>
        <v>1</v>
      </c>
      <c r="M35" s="312"/>
      <c r="N35" s="102" t="s">
        <v>707</v>
      </c>
      <c r="O35" s="108" t="s">
        <v>715</v>
      </c>
      <c r="P35" s="111"/>
    </row>
    <row r="36" spans="1:16" ht="99.95" customHeight="1" thickBot="1" x14ac:dyDescent="0.3">
      <c r="A36" s="307"/>
      <c r="B36" s="305"/>
      <c r="C36" s="104" t="s">
        <v>681</v>
      </c>
      <c r="D36" s="25">
        <v>1</v>
      </c>
      <c r="E36" s="23" t="s">
        <v>37</v>
      </c>
      <c r="F36" s="110" t="s">
        <v>682</v>
      </c>
      <c r="G36" s="155">
        <v>0</v>
      </c>
      <c r="H36" s="155">
        <v>0</v>
      </c>
      <c r="I36" s="156">
        <v>0</v>
      </c>
      <c r="J36" s="156">
        <f t="shared" ref="J36:J37" si="2">+SUM(G36:I36)</f>
        <v>0</v>
      </c>
      <c r="K36" s="13">
        <f t="shared" ref="K36:K37" si="3">+IFERROR(J36/D36,"-")</f>
        <v>0</v>
      </c>
      <c r="L36" s="13">
        <f>+K36+100%</f>
        <v>1</v>
      </c>
      <c r="M36" s="312"/>
      <c r="N36" s="112" t="s">
        <v>716</v>
      </c>
      <c r="O36" s="109" t="s">
        <v>717</v>
      </c>
      <c r="P36" s="111"/>
    </row>
    <row r="37" spans="1:16" ht="99.95" customHeight="1" thickBot="1" x14ac:dyDescent="0.3">
      <c r="A37" s="308"/>
      <c r="B37" s="305"/>
      <c r="C37" s="101" t="s">
        <v>683</v>
      </c>
      <c r="D37" s="25">
        <v>1</v>
      </c>
      <c r="E37" s="23" t="s">
        <v>37</v>
      </c>
      <c r="F37" s="108" t="s">
        <v>684</v>
      </c>
      <c r="G37" s="155">
        <v>0</v>
      </c>
      <c r="H37" s="155">
        <v>0</v>
      </c>
      <c r="I37" s="156">
        <v>0</v>
      </c>
      <c r="J37" s="156">
        <f t="shared" si="2"/>
        <v>0</v>
      </c>
      <c r="K37" s="13">
        <f t="shared" si="3"/>
        <v>0</v>
      </c>
      <c r="L37" s="13">
        <f>+K37+0%</f>
        <v>0</v>
      </c>
      <c r="M37" s="313"/>
      <c r="N37" s="102" t="s">
        <v>112</v>
      </c>
      <c r="O37" s="108" t="s">
        <v>718</v>
      </c>
      <c r="P37" s="111"/>
    </row>
    <row r="38" spans="1:16" x14ac:dyDescent="0.25">
      <c r="A38" s="14"/>
      <c r="B38" s="14"/>
      <c r="C38" s="14"/>
      <c r="D38" s="14"/>
      <c r="E38" s="14"/>
      <c r="F38" s="15"/>
      <c r="G38" s="14"/>
      <c r="H38" s="14"/>
      <c r="I38" s="14"/>
      <c r="J38" s="14"/>
      <c r="K38" s="14"/>
      <c r="L38" s="14"/>
      <c r="M38" s="15"/>
      <c r="N38" s="15"/>
      <c r="O38" s="15"/>
    </row>
    <row r="39" spans="1:16" x14ac:dyDescent="0.25">
      <c r="A39" s="14"/>
      <c r="B39" s="14"/>
      <c r="C39" s="14"/>
      <c r="D39" s="14"/>
      <c r="E39" s="14"/>
      <c r="F39" s="15"/>
      <c r="G39" s="14"/>
      <c r="H39" s="14"/>
      <c r="I39" s="14"/>
      <c r="J39" s="14"/>
      <c r="K39" s="14"/>
      <c r="L39" s="14"/>
      <c r="M39" s="15"/>
      <c r="N39" s="15"/>
      <c r="O39" s="15"/>
    </row>
    <row r="40" spans="1:16" x14ac:dyDescent="0.25">
      <c r="A40" s="15"/>
      <c r="B40" s="15"/>
      <c r="C40" s="15"/>
      <c r="D40" s="15"/>
      <c r="E40" s="15"/>
      <c r="F40" s="15"/>
      <c r="G40" s="15"/>
      <c r="H40" s="15"/>
      <c r="I40" s="15"/>
      <c r="J40" s="15"/>
      <c r="K40" s="15"/>
      <c r="L40" s="15"/>
      <c r="M40" s="15"/>
      <c r="N40" s="15"/>
      <c r="O40" s="15"/>
    </row>
    <row r="41" spans="1:16" x14ac:dyDescent="0.25">
      <c r="A41" s="15"/>
      <c r="B41" s="15"/>
      <c r="C41" s="15"/>
      <c r="D41" s="15"/>
      <c r="E41" s="15"/>
      <c r="F41" s="15"/>
      <c r="G41" s="15"/>
      <c r="H41" s="15"/>
      <c r="I41" s="15"/>
      <c r="J41" s="15"/>
      <c r="K41" s="15"/>
      <c r="L41" s="15"/>
      <c r="M41" s="15"/>
      <c r="N41" s="15"/>
      <c r="O41" s="15"/>
    </row>
    <row r="42" spans="1:16" x14ac:dyDescent="0.25">
      <c r="A42" s="15"/>
      <c r="B42" s="15"/>
      <c r="C42" s="15"/>
      <c r="D42" s="15"/>
      <c r="E42" s="15"/>
      <c r="F42" s="15"/>
      <c r="G42" s="15"/>
      <c r="H42" s="15"/>
      <c r="I42" s="15"/>
      <c r="J42" s="15"/>
      <c r="K42" s="15"/>
      <c r="L42" s="15"/>
      <c r="M42" s="15"/>
      <c r="N42" s="15"/>
      <c r="O42" s="15"/>
    </row>
    <row r="43" spans="1:16" x14ac:dyDescent="0.25">
      <c r="A43" s="15"/>
      <c r="B43" s="15"/>
      <c r="C43" s="15"/>
      <c r="D43" s="15"/>
      <c r="E43" s="15"/>
      <c r="F43" s="15"/>
      <c r="G43" s="15"/>
      <c r="H43" s="15"/>
      <c r="I43" s="15"/>
      <c r="J43" s="15"/>
      <c r="K43" s="15"/>
      <c r="L43" s="15"/>
      <c r="M43" s="15"/>
      <c r="N43" s="15"/>
      <c r="O43" s="15"/>
    </row>
    <row r="44" spans="1:16" x14ac:dyDescent="0.25">
      <c r="A44" s="15"/>
      <c r="B44" s="15"/>
      <c r="C44" s="15"/>
      <c r="D44" s="15"/>
      <c r="E44" s="15"/>
      <c r="F44" s="15"/>
      <c r="G44" s="15"/>
      <c r="H44" s="15"/>
      <c r="I44" s="15"/>
      <c r="J44" s="15"/>
      <c r="K44" s="15"/>
      <c r="L44" s="15"/>
      <c r="M44" s="15"/>
      <c r="N44" s="15"/>
      <c r="O44" s="15"/>
    </row>
    <row r="45" spans="1:16" x14ac:dyDescent="0.25">
      <c r="A45" s="15"/>
      <c r="B45" s="15"/>
      <c r="C45" s="15"/>
      <c r="D45" s="15"/>
      <c r="E45" s="15"/>
      <c r="F45" s="15"/>
      <c r="G45" s="15"/>
      <c r="H45" s="15"/>
      <c r="I45" s="15"/>
      <c r="J45" s="15"/>
      <c r="K45" s="15"/>
      <c r="L45" s="15"/>
      <c r="M45" s="15"/>
      <c r="N45" s="15"/>
      <c r="O45" s="15"/>
    </row>
    <row r="46" spans="1:16" ht="15" customHeight="1" x14ac:dyDescent="0.25">
      <c r="A46" s="277"/>
      <c r="B46" s="277"/>
      <c r="C46" s="277"/>
      <c r="D46" s="277"/>
      <c r="E46" s="277"/>
      <c r="F46" s="277"/>
      <c r="G46" s="277"/>
      <c r="H46" s="277"/>
      <c r="I46" s="277"/>
      <c r="J46" s="277"/>
      <c r="K46" s="16"/>
      <c r="L46" s="16"/>
    </row>
    <row r="47" spans="1:16" x14ac:dyDescent="0.25">
      <c r="A47" s="277"/>
      <c r="B47" s="277"/>
      <c r="C47" s="277"/>
      <c r="D47" s="277"/>
      <c r="E47" s="277"/>
      <c r="F47" s="277"/>
      <c r="G47" s="277"/>
      <c r="H47" s="277"/>
      <c r="I47" s="277"/>
      <c r="J47" s="277"/>
      <c r="K47" s="16"/>
      <c r="L47" s="16"/>
    </row>
  </sheetData>
  <mergeCells count="32">
    <mergeCell ref="B34:B37"/>
    <mergeCell ref="M16:M19"/>
    <mergeCell ref="A12:P13"/>
    <mergeCell ref="A6:P6"/>
    <mergeCell ref="A7:P7"/>
    <mergeCell ref="A8:P8"/>
    <mergeCell ref="A9:P9"/>
    <mergeCell ref="A10:P11"/>
    <mergeCell ref="A34:A37"/>
    <mergeCell ref="M29:M33"/>
    <mergeCell ref="M34:M37"/>
    <mergeCell ref="A21:A22"/>
    <mergeCell ref="A23:A25"/>
    <mergeCell ref="B21:B22"/>
    <mergeCell ref="B23:B25"/>
    <mergeCell ref="A29:A33"/>
    <mergeCell ref="N16:N19"/>
    <mergeCell ref="O16:O19"/>
    <mergeCell ref="O14:O15"/>
    <mergeCell ref="P14:P15"/>
    <mergeCell ref="A46:J47"/>
    <mergeCell ref="A16:A19"/>
    <mergeCell ref="B16:B17"/>
    <mergeCell ref="F16:F19"/>
    <mergeCell ref="A26:A28"/>
    <mergeCell ref="A14:A15"/>
    <mergeCell ref="B14:E14"/>
    <mergeCell ref="F14:F15"/>
    <mergeCell ref="G14:L14"/>
    <mergeCell ref="M14:M15"/>
    <mergeCell ref="N14:N15"/>
    <mergeCell ref="B29:B33"/>
  </mergeCells>
  <printOptions horizontalCentered="1" verticalCentered="1"/>
  <pageMargins left="0.05" right="0.05" top="0.37" bottom="0.38" header="0.3" footer="0.23"/>
  <pageSetup scale="33" fitToHeight="0" orientation="landscape" r:id="rId1"/>
  <rowBreaks count="3" manualBreakCount="3">
    <brk id="22" max="15" man="1"/>
    <brk id="28" max="15" man="1"/>
    <brk id="33" max="15" man="1"/>
  </rowBreaks>
  <ignoredErrors>
    <ignoredError sqref="L17"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P34"/>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37.425781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5.140625" style="10" customWidth="1"/>
    <col min="15" max="15" width="33.2851562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98</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113" t="s">
        <v>719</v>
      </c>
      <c r="B16" s="114" t="s">
        <v>720</v>
      </c>
      <c r="C16" s="115" t="s">
        <v>721</v>
      </c>
      <c r="D16" s="20">
        <v>145</v>
      </c>
      <c r="E16" s="87" t="s">
        <v>37</v>
      </c>
      <c r="F16" s="116" t="s">
        <v>722</v>
      </c>
      <c r="G16" s="155">
        <v>5</v>
      </c>
      <c r="H16" s="155">
        <v>15</v>
      </c>
      <c r="I16" s="156">
        <v>24</v>
      </c>
      <c r="J16" s="156">
        <f>+SUM(G16:I16)</f>
        <v>44</v>
      </c>
      <c r="K16" s="13">
        <f>+IFERROR(J16/D16,"-")</f>
        <v>0.30344827586206896</v>
      </c>
      <c r="L16" s="13">
        <f>+K16+68.9655172413793%</f>
        <v>0.99310344827586206</v>
      </c>
      <c r="M16" s="117" t="s">
        <v>747</v>
      </c>
      <c r="N16" s="117" t="s">
        <v>748</v>
      </c>
      <c r="O16" s="119" t="s">
        <v>749</v>
      </c>
      <c r="P16" s="120"/>
    </row>
    <row r="17" spans="1:16" ht="128.25" customHeight="1" thickBot="1" x14ac:dyDescent="0.3">
      <c r="A17" s="117" t="s">
        <v>723</v>
      </c>
      <c r="B17" s="115" t="s">
        <v>724</v>
      </c>
      <c r="C17" s="115" t="s">
        <v>725</v>
      </c>
      <c r="D17" s="22">
        <v>71</v>
      </c>
      <c r="E17" s="87" t="s">
        <v>37</v>
      </c>
      <c r="F17" s="116" t="s">
        <v>726</v>
      </c>
      <c r="G17" s="155">
        <v>3</v>
      </c>
      <c r="H17" s="155">
        <v>2</v>
      </c>
      <c r="I17" s="156">
        <v>0</v>
      </c>
      <c r="J17" s="156">
        <f t="shared" ref="J17:J22" si="0">+SUM(G17:I17)</f>
        <v>5</v>
      </c>
      <c r="K17" s="13">
        <f t="shared" ref="K17:K22" si="1">+IFERROR(J17/D17,"-")</f>
        <v>7.0422535211267609E-2</v>
      </c>
      <c r="L17" s="13">
        <f>+K17+70.4225352112676%</f>
        <v>0.77464788732394363</v>
      </c>
      <c r="M17" s="117" t="s">
        <v>750</v>
      </c>
      <c r="N17" s="117" t="s">
        <v>751</v>
      </c>
      <c r="O17" s="119" t="s">
        <v>752</v>
      </c>
      <c r="P17" s="120"/>
    </row>
    <row r="18" spans="1:16" ht="99.95" customHeight="1" thickBot="1" x14ac:dyDescent="0.3">
      <c r="A18" s="117" t="s">
        <v>727</v>
      </c>
      <c r="B18" s="115" t="s">
        <v>728</v>
      </c>
      <c r="C18" s="115" t="s">
        <v>729</v>
      </c>
      <c r="D18" s="24">
        <v>16</v>
      </c>
      <c r="E18" s="87" t="s">
        <v>37</v>
      </c>
      <c r="F18" s="116" t="s">
        <v>730</v>
      </c>
      <c r="G18" s="155">
        <v>1</v>
      </c>
      <c r="H18" s="155">
        <v>1</v>
      </c>
      <c r="I18" s="156">
        <v>0</v>
      </c>
      <c r="J18" s="156">
        <f t="shared" si="0"/>
        <v>2</v>
      </c>
      <c r="K18" s="13">
        <f t="shared" si="1"/>
        <v>0.125</v>
      </c>
      <c r="L18" s="13">
        <f>+K18+25%</f>
        <v>0.375</v>
      </c>
      <c r="M18" s="117" t="s">
        <v>342</v>
      </c>
      <c r="N18" s="117" t="s">
        <v>751</v>
      </c>
      <c r="O18" s="119" t="s">
        <v>753</v>
      </c>
      <c r="P18" s="120"/>
    </row>
    <row r="19" spans="1:16" ht="99.95" customHeight="1" thickBot="1" x14ac:dyDescent="0.3">
      <c r="A19" s="117" t="s">
        <v>731</v>
      </c>
      <c r="B19" s="114" t="s">
        <v>732</v>
      </c>
      <c r="C19" s="115" t="s">
        <v>733</v>
      </c>
      <c r="D19" s="25">
        <v>10</v>
      </c>
      <c r="E19" s="87" t="s">
        <v>37</v>
      </c>
      <c r="F19" s="116" t="s">
        <v>734</v>
      </c>
      <c r="G19" s="155">
        <v>8</v>
      </c>
      <c r="H19" s="155">
        <v>7</v>
      </c>
      <c r="I19" s="156">
        <v>1</v>
      </c>
      <c r="J19" s="156">
        <f t="shared" si="0"/>
        <v>16</v>
      </c>
      <c r="K19" s="13">
        <f t="shared" si="1"/>
        <v>1.6</v>
      </c>
      <c r="L19" s="13">
        <f>+K19+140%</f>
        <v>3</v>
      </c>
      <c r="M19" s="117" t="s">
        <v>754</v>
      </c>
      <c r="N19" s="117" t="s">
        <v>755</v>
      </c>
      <c r="O19" s="119" t="s">
        <v>756</v>
      </c>
      <c r="P19" s="120"/>
    </row>
    <row r="20" spans="1:16" ht="99.95" customHeight="1" thickBot="1" x14ac:dyDescent="0.3">
      <c r="A20" s="117" t="s">
        <v>735</v>
      </c>
      <c r="B20" s="118" t="s">
        <v>736</v>
      </c>
      <c r="C20" s="115" t="s">
        <v>737</v>
      </c>
      <c r="D20" s="24">
        <v>2</v>
      </c>
      <c r="E20" s="87" t="s">
        <v>37</v>
      </c>
      <c r="F20" s="116" t="s">
        <v>738</v>
      </c>
      <c r="G20" s="155">
        <v>0</v>
      </c>
      <c r="H20" s="155">
        <v>1</v>
      </c>
      <c r="I20" s="156">
        <v>0</v>
      </c>
      <c r="J20" s="156">
        <f t="shared" si="0"/>
        <v>1</v>
      </c>
      <c r="K20" s="13">
        <f t="shared" si="1"/>
        <v>0.5</v>
      </c>
      <c r="L20" s="13">
        <f>+K20+150%</f>
        <v>2</v>
      </c>
      <c r="M20" s="117" t="s">
        <v>81</v>
      </c>
      <c r="N20" s="117" t="s">
        <v>751</v>
      </c>
      <c r="O20" s="119" t="s">
        <v>757</v>
      </c>
      <c r="P20" s="120"/>
    </row>
    <row r="21" spans="1:16" ht="127.5" customHeight="1" thickBot="1" x14ac:dyDescent="0.3">
      <c r="A21" s="117" t="s">
        <v>739</v>
      </c>
      <c r="B21" s="118" t="s">
        <v>740</v>
      </c>
      <c r="C21" s="115" t="s">
        <v>741</v>
      </c>
      <c r="D21" s="20">
        <v>47</v>
      </c>
      <c r="E21" s="87" t="s">
        <v>60</v>
      </c>
      <c r="F21" s="116" t="s">
        <v>742</v>
      </c>
      <c r="G21" s="155">
        <v>0</v>
      </c>
      <c r="H21" s="155">
        <v>1</v>
      </c>
      <c r="I21" s="156">
        <v>1</v>
      </c>
      <c r="J21" s="156">
        <f t="shared" si="0"/>
        <v>2</v>
      </c>
      <c r="K21" s="13">
        <f t="shared" si="1"/>
        <v>4.2553191489361701E-2</v>
      </c>
      <c r="L21" s="13">
        <f>+K21+21.2765957446808%</f>
        <v>0.25531914893616969</v>
      </c>
      <c r="M21" s="117" t="s">
        <v>751</v>
      </c>
      <c r="N21" s="117" t="s">
        <v>751</v>
      </c>
      <c r="O21" s="119" t="s">
        <v>758</v>
      </c>
      <c r="P21" s="120"/>
    </row>
    <row r="22" spans="1:16" ht="99.95" customHeight="1" thickBot="1" x14ac:dyDescent="0.3">
      <c r="A22" s="117" t="s">
        <v>743</v>
      </c>
      <c r="B22" s="118" t="s">
        <v>744</v>
      </c>
      <c r="C22" s="115" t="s">
        <v>745</v>
      </c>
      <c r="D22" s="20">
        <v>137</v>
      </c>
      <c r="E22" s="87" t="s">
        <v>60</v>
      </c>
      <c r="F22" s="116" t="s">
        <v>746</v>
      </c>
      <c r="G22" s="155">
        <v>100</v>
      </c>
      <c r="H22" s="155">
        <v>65</v>
      </c>
      <c r="I22" s="156">
        <v>60</v>
      </c>
      <c r="J22" s="156">
        <f t="shared" si="0"/>
        <v>225</v>
      </c>
      <c r="K22" s="13">
        <f t="shared" si="1"/>
        <v>1.6423357664233578</v>
      </c>
      <c r="L22" s="13">
        <f>+K22+605.839416058394%</f>
        <v>7.7007299270072984</v>
      </c>
      <c r="M22" s="117" t="s">
        <v>751</v>
      </c>
      <c r="N22" s="117" t="s">
        <v>759</v>
      </c>
      <c r="O22" s="119" t="s">
        <v>760</v>
      </c>
      <c r="P22" s="120"/>
    </row>
    <row r="23" spans="1:16" x14ac:dyDescent="0.25">
      <c r="A23" s="14"/>
      <c r="B23" s="14"/>
      <c r="C23" s="14"/>
      <c r="D23" s="14"/>
      <c r="E23" s="14"/>
      <c r="F23" s="15"/>
      <c r="G23" s="14"/>
      <c r="H23" s="14"/>
      <c r="I23" s="14"/>
      <c r="J23" s="14"/>
      <c r="K23" s="14"/>
      <c r="L23" s="14"/>
      <c r="M23" s="15"/>
      <c r="N23" s="15"/>
      <c r="O23" s="15"/>
    </row>
    <row r="24" spans="1:16" x14ac:dyDescent="0.25">
      <c r="A24" s="14"/>
      <c r="B24" s="14"/>
      <c r="C24" s="14"/>
      <c r="D24" s="14"/>
      <c r="E24" s="14"/>
      <c r="F24" s="15"/>
      <c r="G24" s="14"/>
      <c r="H24" s="14"/>
      <c r="I24" s="14"/>
      <c r="J24" s="14"/>
      <c r="K24" s="14"/>
      <c r="L24" s="14"/>
      <c r="M24" s="15"/>
      <c r="N24" s="15"/>
      <c r="O24" s="15"/>
    </row>
    <row r="25" spans="1:16" x14ac:dyDescent="0.25">
      <c r="A25" s="14"/>
      <c r="B25" s="14"/>
      <c r="C25" s="14"/>
      <c r="D25" s="14"/>
      <c r="E25" s="14"/>
      <c r="F25" s="15"/>
      <c r="G25" s="14"/>
      <c r="H25" s="14"/>
      <c r="I25" s="14"/>
      <c r="J25" s="14"/>
      <c r="K25" s="14"/>
      <c r="L25" s="14"/>
      <c r="M25" s="15"/>
      <c r="N25" s="15"/>
      <c r="O25" s="15"/>
    </row>
    <row r="26" spans="1:16" x14ac:dyDescent="0.25">
      <c r="A26" s="14"/>
      <c r="B26" s="14"/>
      <c r="C26" s="14"/>
      <c r="D26" s="14"/>
      <c r="E26" s="14"/>
      <c r="F26" s="15"/>
      <c r="G26" s="14"/>
      <c r="H26" s="14"/>
      <c r="I26" s="14"/>
      <c r="J26" s="14"/>
      <c r="K26" s="14"/>
      <c r="L26" s="14"/>
      <c r="M26" s="15"/>
      <c r="N26" s="15"/>
      <c r="O26" s="15"/>
    </row>
    <row r="27" spans="1:16" x14ac:dyDescent="0.25">
      <c r="A27" s="15"/>
      <c r="B27" s="15"/>
      <c r="C27" s="15"/>
      <c r="D27" s="15"/>
      <c r="E27" s="15"/>
      <c r="F27" s="15"/>
      <c r="G27" s="15"/>
      <c r="H27" s="15"/>
      <c r="I27" s="15"/>
      <c r="J27" s="15"/>
      <c r="K27" s="15"/>
      <c r="L27" s="15"/>
      <c r="M27" s="15"/>
      <c r="N27" s="15"/>
      <c r="O27" s="15"/>
    </row>
    <row r="28" spans="1:16" x14ac:dyDescent="0.25">
      <c r="A28" s="15"/>
      <c r="B28" s="15"/>
      <c r="C28" s="15"/>
      <c r="D28" s="15"/>
      <c r="E28" s="15"/>
      <c r="F28" s="15"/>
      <c r="G28" s="15"/>
      <c r="H28" s="15"/>
      <c r="I28" s="15"/>
      <c r="J28" s="15"/>
      <c r="K28" s="15"/>
      <c r="L28" s="15"/>
      <c r="M28" s="15"/>
      <c r="N28" s="15"/>
      <c r="O28" s="15"/>
    </row>
    <row r="29" spans="1:16" x14ac:dyDescent="0.25">
      <c r="A29" s="15"/>
      <c r="B29" s="15"/>
      <c r="C29" s="15"/>
      <c r="D29" s="15"/>
      <c r="E29" s="15"/>
      <c r="F29" s="15"/>
      <c r="G29" s="15"/>
      <c r="H29" s="15"/>
      <c r="I29" s="15"/>
      <c r="J29" s="15"/>
      <c r="K29" s="15"/>
      <c r="L29" s="15"/>
      <c r="M29" s="15"/>
      <c r="N29" s="15"/>
      <c r="O29" s="15"/>
    </row>
    <row r="30" spans="1:16" x14ac:dyDescent="0.25">
      <c r="A30" s="15"/>
      <c r="B30" s="15"/>
      <c r="C30" s="15"/>
      <c r="D30" s="15"/>
      <c r="E30" s="15"/>
      <c r="F30" s="15"/>
      <c r="G30" s="15"/>
      <c r="H30" s="15"/>
      <c r="I30" s="15"/>
      <c r="J30" s="15"/>
      <c r="K30" s="15"/>
      <c r="L30" s="15"/>
      <c r="M30" s="15"/>
      <c r="N30" s="15"/>
      <c r="O30" s="15"/>
    </row>
    <row r="31" spans="1:16" x14ac:dyDescent="0.25">
      <c r="A31" s="15"/>
      <c r="B31" s="15"/>
      <c r="C31" s="15"/>
      <c r="D31" s="15"/>
      <c r="E31" s="15"/>
      <c r="F31" s="15"/>
      <c r="G31" s="15"/>
      <c r="H31" s="15"/>
      <c r="I31" s="15"/>
      <c r="J31" s="15"/>
      <c r="K31" s="15"/>
      <c r="L31" s="15"/>
      <c r="M31" s="15"/>
      <c r="N31" s="15"/>
      <c r="O31" s="15"/>
    </row>
    <row r="32" spans="1:16" x14ac:dyDescent="0.25">
      <c r="A32" s="15"/>
      <c r="B32" s="15"/>
      <c r="C32" s="15"/>
      <c r="D32" s="15"/>
      <c r="E32" s="15"/>
      <c r="F32" s="15"/>
      <c r="G32" s="15"/>
      <c r="H32" s="15"/>
      <c r="I32" s="15"/>
      <c r="J32" s="15"/>
      <c r="K32" s="15"/>
      <c r="L32" s="15"/>
      <c r="M32" s="15"/>
      <c r="N32" s="15"/>
      <c r="O32" s="15"/>
    </row>
    <row r="33" spans="1:12" ht="15" customHeight="1" x14ac:dyDescent="0.25">
      <c r="A33" s="277"/>
      <c r="B33" s="277"/>
      <c r="C33" s="277"/>
      <c r="D33" s="277"/>
      <c r="E33" s="277"/>
      <c r="F33" s="277"/>
      <c r="G33" s="277"/>
      <c r="H33" s="277"/>
      <c r="I33" s="277"/>
      <c r="J33" s="277"/>
      <c r="K33" s="16"/>
      <c r="L33" s="16"/>
    </row>
    <row r="34" spans="1:12" x14ac:dyDescent="0.25">
      <c r="A34" s="277"/>
      <c r="B34" s="277"/>
      <c r="C34" s="277"/>
      <c r="D34" s="277"/>
      <c r="E34" s="277"/>
      <c r="F34" s="277"/>
      <c r="G34" s="277"/>
      <c r="H34" s="277"/>
      <c r="I34" s="277"/>
      <c r="J34" s="277"/>
      <c r="K34" s="16"/>
      <c r="L34" s="16"/>
    </row>
  </sheetData>
  <mergeCells count="15">
    <mergeCell ref="A12:P13"/>
    <mergeCell ref="A6:P6"/>
    <mergeCell ref="A7:P7"/>
    <mergeCell ref="A8:P8"/>
    <mergeCell ref="A9:P9"/>
    <mergeCell ref="A10:P11"/>
    <mergeCell ref="O14:O15"/>
    <mergeCell ref="P14:P15"/>
    <mergeCell ref="A33:J34"/>
    <mergeCell ref="A14:A15"/>
    <mergeCell ref="B14:E14"/>
    <mergeCell ref="F14:F15"/>
    <mergeCell ref="G14:L14"/>
    <mergeCell ref="M14:M15"/>
    <mergeCell ref="N14:N15"/>
  </mergeCells>
  <printOptions horizontalCentered="1" verticalCentered="1"/>
  <pageMargins left="3.937007874015748E-2" right="3.937007874015748E-2" top="0.35433070866141736" bottom="0.39370078740157483" header="0.31496062992125984" footer="0.23622047244094491"/>
  <pageSetup scale="3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P38"/>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36.8554687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4.85546875" style="10" customWidth="1"/>
    <col min="15" max="15" width="38"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99</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133.5" customHeight="1" thickBot="1" x14ac:dyDescent="0.3">
      <c r="A16" s="121" t="s">
        <v>761</v>
      </c>
      <c r="B16" s="121" t="s">
        <v>762</v>
      </c>
      <c r="C16" s="121" t="s">
        <v>763</v>
      </c>
      <c r="D16" s="20">
        <v>2</v>
      </c>
      <c r="E16" s="122" t="s">
        <v>60</v>
      </c>
      <c r="F16" s="123" t="s">
        <v>764</v>
      </c>
      <c r="G16" s="155">
        <v>0</v>
      </c>
      <c r="H16" s="155">
        <v>0</v>
      </c>
      <c r="I16" s="155">
        <v>0</v>
      </c>
      <c r="J16" s="156">
        <f>+SUM(G16:I16)</f>
        <v>0</v>
      </c>
      <c r="K16" s="13">
        <f>+IFERROR(J16/D16,"-")</f>
        <v>0</v>
      </c>
      <c r="L16" s="13">
        <f>+K16+0%</f>
        <v>0</v>
      </c>
      <c r="M16" s="121" t="s">
        <v>803</v>
      </c>
      <c r="N16" s="131" t="s">
        <v>804</v>
      </c>
      <c r="O16" s="132" t="s">
        <v>805</v>
      </c>
      <c r="P16" s="68"/>
    </row>
    <row r="17" spans="1:16" ht="197.25" customHeight="1" thickBot="1" x14ac:dyDescent="0.3">
      <c r="A17" s="124" t="s">
        <v>765</v>
      </c>
      <c r="B17" s="76" t="s">
        <v>766</v>
      </c>
      <c r="C17" s="76" t="s">
        <v>767</v>
      </c>
      <c r="D17" s="22">
        <v>12</v>
      </c>
      <c r="E17" s="125" t="s">
        <v>37</v>
      </c>
      <c r="F17" s="68" t="s">
        <v>768</v>
      </c>
      <c r="G17" s="155">
        <v>1</v>
      </c>
      <c r="H17" s="155">
        <v>1</v>
      </c>
      <c r="I17" s="155">
        <v>1</v>
      </c>
      <c r="J17" s="156">
        <f t="shared" ref="J17:J26" si="0">+SUM(G17:I17)</f>
        <v>3</v>
      </c>
      <c r="K17" s="13">
        <f t="shared" ref="K17:K26" si="1">+IFERROR(J17/D17,"-")</f>
        <v>0.25</v>
      </c>
      <c r="L17" s="13">
        <f>+K17+75%</f>
        <v>1</v>
      </c>
      <c r="M17" s="76" t="s">
        <v>806</v>
      </c>
      <c r="N17" s="75" t="s">
        <v>905</v>
      </c>
      <c r="O17" s="133" t="s">
        <v>807</v>
      </c>
      <c r="P17" s="76"/>
    </row>
    <row r="18" spans="1:16" ht="180" customHeight="1" thickBot="1" x14ac:dyDescent="0.3">
      <c r="A18" s="126" t="s">
        <v>769</v>
      </c>
      <c r="B18" s="126" t="s">
        <v>770</v>
      </c>
      <c r="C18" s="126" t="s">
        <v>771</v>
      </c>
      <c r="D18" s="24">
        <v>1</v>
      </c>
      <c r="E18" s="122" t="s">
        <v>60</v>
      </c>
      <c r="F18" s="127" t="s">
        <v>772</v>
      </c>
      <c r="G18" s="155">
        <v>0</v>
      </c>
      <c r="H18" s="155">
        <v>0</v>
      </c>
      <c r="I18" s="155">
        <v>0</v>
      </c>
      <c r="J18" s="156">
        <f t="shared" si="0"/>
        <v>0</v>
      </c>
      <c r="K18" s="13">
        <f t="shared" si="1"/>
        <v>0</v>
      </c>
      <c r="L18" s="13">
        <f>+K18+100%</f>
        <v>1</v>
      </c>
      <c r="M18" s="124" t="s">
        <v>808</v>
      </c>
      <c r="N18" s="131" t="s">
        <v>809</v>
      </c>
      <c r="O18" s="134" t="s">
        <v>810</v>
      </c>
      <c r="P18" s="76"/>
    </row>
    <row r="19" spans="1:16" ht="152.25" customHeight="1" thickBot="1" x14ac:dyDescent="0.3">
      <c r="A19" s="128" t="s">
        <v>773</v>
      </c>
      <c r="B19" s="128" t="s">
        <v>774</v>
      </c>
      <c r="C19" s="129" t="s">
        <v>775</v>
      </c>
      <c r="D19" s="25">
        <v>1</v>
      </c>
      <c r="E19" s="125" t="s">
        <v>60</v>
      </c>
      <c r="F19" s="130" t="s">
        <v>776</v>
      </c>
      <c r="G19" s="155">
        <v>0</v>
      </c>
      <c r="H19" s="155">
        <v>0</v>
      </c>
      <c r="I19" s="155">
        <v>0</v>
      </c>
      <c r="J19" s="156">
        <f t="shared" si="0"/>
        <v>0</v>
      </c>
      <c r="K19" s="13">
        <f t="shared" si="1"/>
        <v>0</v>
      </c>
      <c r="L19" s="13">
        <f>+K19+100%</f>
        <v>1</v>
      </c>
      <c r="M19" s="128" t="s">
        <v>811</v>
      </c>
      <c r="N19" s="135" t="s">
        <v>812</v>
      </c>
      <c r="O19" s="136" t="s">
        <v>813</v>
      </c>
      <c r="P19" s="137"/>
    </row>
    <row r="20" spans="1:16" ht="116.25" customHeight="1" thickBot="1" x14ac:dyDescent="0.3">
      <c r="A20" s="128" t="s">
        <v>777</v>
      </c>
      <c r="B20" s="128" t="s">
        <v>778</v>
      </c>
      <c r="C20" s="128" t="s">
        <v>779</v>
      </c>
      <c r="D20" s="24">
        <v>1</v>
      </c>
      <c r="E20" s="125" t="s">
        <v>60</v>
      </c>
      <c r="F20" s="130" t="s">
        <v>780</v>
      </c>
      <c r="G20" s="155">
        <v>0</v>
      </c>
      <c r="H20" s="155">
        <v>0</v>
      </c>
      <c r="I20" s="155">
        <v>0</v>
      </c>
      <c r="J20" s="156">
        <f t="shared" si="0"/>
        <v>0</v>
      </c>
      <c r="K20" s="13">
        <f t="shared" si="1"/>
        <v>0</v>
      </c>
      <c r="L20" s="13">
        <f>+K20+100%</f>
        <v>1</v>
      </c>
      <c r="M20" s="128" t="s">
        <v>808</v>
      </c>
      <c r="N20" s="135" t="s">
        <v>814</v>
      </c>
      <c r="O20" s="136" t="s">
        <v>815</v>
      </c>
      <c r="P20" s="137"/>
    </row>
    <row r="21" spans="1:16" ht="143.25" customHeight="1" thickBot="1" x14ac:dyDescent="0.3">
      <c r="A21" s="128" t="s">
        <v>781</v>
      </c>
      <c r="B21" s="128" t="s">
        <v>782</v>
      </c>
      <c r="C21" s="128" t="s">
        <v>783</v>
      </c>
      <c r="D21" s="20">
        <v>5</v>
      </c>
      <c r="E21" s="125" t="s">
        <v>37</v>
      </c>
      <c r="F21" s="130" t="s">
        <v>784</v>
      </c>
      <c r="G21" s="155">
        <v>1</v>
      </c>
      <c r="H21" s="155">
        <v>1</v>
      </c>
      <c r="I21" s="155">
        <v>1</v>
      </c>
      <c r="J21" s="156">
        <f t="shared" si="0"/>
        <v>3</v>
      </c>
      <c r="K21" s="13">
        <f t="shared" si="1"/>
        <v>0.6</v>
      </c>
      <c r="L21" s="13">
        <f>+K21+40%</f>
        <v>1</v>
      </c>
      <c r="M21" s="128" t="s">
        <v>808</v>
      </c>
      <c r="N21" s="135" t="s">
        <v>816</v>
      </c>
      <c r="O21" s="136" t="s">
        <v>817</v>
      </c>
      <c r="P21" s="137"/>
    </row>
    <row r="22" spans="1:16" ht="118.5" customHeight="1" thickBot="1" x14ac:dyDescent="0.3">
      <c r="A22" s="314" t="s">
        <v>785</v>
      </c>
      <c r="B22" s="128" t="s">
        <v>786</v>
      </c>
      <c r="C22" s="128" t="s">
        <v>787</v>
      </c>
      <c r="D22" s="20">
        <v>12</v>
      </c>
      <c r="E22" s="125" t="s">
        <v>37</v>
      </c>
      <c r="F22" s="130" t="s">
        <v>788</v>
      </c>
      <c r="G22" s="155">
        <v>1</v>
      </c>
      <c r="H22" s="155">
        <v>1</v>
      </c>
      <c r="I22" s="155">
        <v>1</v>
      </c>
      <c r="J22" s="156">
        <f t="shared" si="0"/>
        <v>3</v>
      </c>
      <c r="K22" s="13">
        <f t="shared" si="1"/>
        <v>0.25</v>
      </c>
      <c r="L22" s="13">
        <f>+K22+75%</f>
        <v>1</v>
      </c>
      <c r="M22" s="128" t="s">
        <v>808</v>
      </c>
      <c r="N22" s="135" t="s">
        <v>818</v>
      </c>
      <c r="O22" s="136" t="s">
        <v>819</v>
      </c>
      <c r="P22" s="137"/>
    </row>
    <row r="23" spans="1:16" ht="129.75" customHeight="1" thickBot="1" x14ac:dyDescent="0.3">
      <c r="A23" s="315"/>
      <c r="B23" s="128" t="s">
        <v>789</v>
      </c>
      <c r="C23" s="128" t="s">
        <v>790</v>
      </c>
      <c r="D23" s="20">
        <v>13</v>
      </c>
      <c r="E23" s="125" t="s">
        <v>37</v>
      </c>
      <c r="F23" s="130" t="s">
        <v>791</v>
      </c>
      <c r="G23" s="155">
        <v>1</v>
      </c>
      <c r="H23" s="155">
        <v>1</v>
      </c>
      <c r="I23" s="155">
        <v>2</v>
      </c>
      <c r="J23" s="156">
        <f t="shared" si="0"/>
        <v>4</v>
      </c>
      <c r="K23" s="13">
        <f t="shared" si="1"/>
        <v>0.30769230769230771</v>
      </c>
      <c r="L23" s="13">
        <f>+K23+69.2307692307693%</f>
        <v>1.0000000000000007</v>
      </c>
      <c r="M23" s="128" t="s">
        <v>808</v>
      </c>
      <c r="N23" s="135" t="s">
        <v>820</v>
      </c>
      <c r="O23" s="136" t="s">
        <v>821</v>
      </c>
      <c r="P23" s="137"/>
    </row>
    <row r="24" spans="1:16" ht="99.95" customHeight="1" thickBot="1" x14ac:dyDescent="0.3">
      <c r="A24" s="316"/>
      <c r="B24" s="128" t="s">
        <v>792</v>
      </c>
      <c r="C24" s="128" t="s">
        <v>793</v>
      </c>
      <c r="D24" s="20">
        <v>12</v>
      </c>
      <c r="E24" s="125" t="s">
        <v>37</v>
      </c>
      <c r="F24" s="130" t="s">
        <v>794</v>
      </c>
      <c r="G24" s="155">
        <v>1</v>
      </c>
      <c r="H24" s="155">
        <v>1</v>
      </c>
      <c r="I24" s="155">
        <v>1</v>
      </c>
      <c r="J24" s="156">
        <f t="shared" si="0"/>
        <v>3</v>
      </c>
      <c r="K24" s="13">
        <f t="shared" si="1"/>
        <v>0.25</v>
      </c>
      <c r="L24" s="13">
        <f>+K24+75%</f>
        <v>1</v>
      </c>
      <c r="M24" s="128" t="s">
        <v>808</v>
      </c>
      <c r="N24" s="135" t="s">
        <v>822</v>
      </c>
      <c r="O24" s="136" t="s">
        <v>823</v>
      </c>
      <c r="P24" s="137"/>
    </row>
    <row r="25" spans="1:16" ht="181.5" customHeight="1" thickBot="1" x14ac:dyDescent="0.3">
      <c r="A25" s="128" t="s">
        <v>795</v>
      </c>
      <c r="B25" s="128" t="s">
        <v>796</v>
      </c>
      <c r="C25" s="128" t="s">
        <v>797</v>
      </c>
      <c r="D25" s="20">
        <v>12</v>
      </c>
      <c r="E25" s="125" t="s">
        <v>37</v>
      </c>
      <c r="F25" s="130" t="s">
        <v>798</v>
      </c>
      <c r="G25" s="155">
        <v>1</v>
      </c>
      <c r="H25" s="155">
        <v>1</v>
      </c>
      <c r="I25" s="155">
        <v>1</v>
      </c>
      <c r="J25" s="156">
        <f t="shared" si="0"/>
        <v>3</v>
      </c>
      <c r="K25" s="13">
        <f t="shared" si="1"/>
        <v>0.25</v>
      </c>
      <c r="L25" s="13">
        <f>+K25+75%</f>
        <v>1</v>
      </c>
      <c r="M25" s="128" t="s">
        <v>824</v>
      </c>
      <c r="N25" s="135" t="s">
        <v>825</v>
      </c>
      <c r="O25" s="136" t="s">
        <v>826</v>
      </c>
      <c r="P25" s="138"/>
    </row>
    <row r="26" spans="1:16" ht="225.75" customHeight="1" thickBot="1" x14ac:dyDescent="0.3">
      <c r="A26" s="158" t="s">
        <v>799</v>
      </c>
      <c r="B26" s="26" t="s">
        <v>800</v>
      </c>
      <c r="C26" s="26" t="s">
        <v>801</v>
      </c>
      <c r="D26" s="20">
        <v>12</v>
      </c>
      <c r="E26" s="23" t="s">
        <v>37</v>
      </c>
      <c r="F26" s="60" t="s">
        <v>802</v>
      </c>
      <c r="G26" s="155">
        <v>1</v>
      </c>
      <c r="H26" s="155">
        <v>1</v>
      </c>
      <c r="I26" s="155">
        <v>1</v>
      </c>
      <c r="J26" s="156">
        <f t="shared" si="0"/>
        <v>3</v>
      </c>
      <c r="K26" s="13">
        <f t="shared" si="1"/>
        <v>0.25</v>
      </c>
      <c r="L26" s="13">
        <f>+K26+75%</f>
        <v>1</v>
      </c>
      <c r="M26" s="139" t="s">
        <v>808</v>
      </c>
      <c r="N26" s="140" t="s">
        <v>436</v>
      </c>
      <c r="O26" s="141" t="s">
        <v>827</v>
      </c>
      <c r="P26" s="142"/>
    </row>
    <row r="27" spans="1:16" x14ac:dyDescent="0.25">
      <c r="A27" s="14"/>
      <c r="B27" s="14"/>
      <c r="C27" s="14"/>
      <c r="D27" s="14"/>
      <c r="E27" s="14"/>
      <c r="F27" s="15"/>
      <c r="G27" s="14"/>
      <c r="H27" s="14"/>
      <c r="I27" s="14"/>
      <c r="J27" s="14"/>
      <c r="K27" s="14"/>
      <c r="L27" s="14"/>
      <c r="M27" s="15"/>
      <c r="N27" s="15"/>
      <c r="O27" s="15"/>
    </row>
    <row r="28" spans="1:16" x14ac:dyDescent="0.25">
      <c r="A28" s="14"/>
      <c r="B28" s="14"/>
      <c r="C28" s="14"/>
      <c r="D28" s="14"/>
      <c r="E28" s="14"/>
      <c r="F28" s="15"/>
      <c r="G28" s="14"/>
      <c r="H28" s="14"/>
      <c r="I28" s="14"/>
      <c r="J28" s="14"/>
      <c r="K28" s="14"/>
      <c r="L28" s="14"/>
      <c r="M28" s="15"/>
      <c r="N28" s="15"/>
      <c r="O28" s="15"/>
    </row>
    <row r="29" spans="1:16" x14ac:dyDescent="0.25">
      <c r="A29" s="14"/>
      <c r="B29" s="14"/>
      <c r="C29" s="14"/>
      <c r="D29" s="14"/>
      <c r="E29" s="14"/>
      <c r="F29" s="15"/>
      <c r="G29" s="14"/>
      <c r="H29" s="14"/>
      <c r="I29" s="14"/>
      <c r="J29" s="14"/>
      <c r="K29" s="14"/>
      <c r="L29" s="14"/>
      <c r="M29" s="15"/>
      <c r="N29" s="15"/>
      <c r="O29" s="15"/>
    </row>
    <row r="30" spans="1:16" x14ac:dyDescent="0.25">
      <c r="A30" s="14"/>
      <c r="B30" s="14"/>
      <c r="C30" s="14"/>
      <c r="D30" s="14"/>
      <c r="E30" s="14"/>
      <c r="F30" s="15"/>
      <c r="G30" s="14"/>
      <c r="H30" s="14"/>
      <c r="I30" s="14"/>
      <c r="J30" s="14"/>
      <c r="K30" s="14"/>
      <c r="L30" s="14"/>
      <c r="M30" s="15"/>
      <c r="N30" s="15"/>
      <c r="O30" s="15"/>
    </row>
    <row r="31" spans="1:16" x14ac:dyDescent="0.25">
      <c r="A31" s="15"/>
      <c r="B31" s="15"/>
      <c r="C31" s="15"/>
      <c r="D31" s="15"/>
      <c r="E31" s="15"/>
      <c r="F31" s="15"/>
      <c r="G31" s="15"/>
      <c r="H31" s="15"/>
      <c r="I31" s="15"/>
      <c r="J31" s="15"/>
      <c r="K31" s="15"/>
      <c r="L31" s="15"/>
      <c r="M31" s="15"/>
      <c r="N31" s="15"/>
      <c r="O31" s="15"/>
    </row>
    <row r="32" spans="1:16" x14ac:dyDescent="0.25">
      <c r="A32" s="15"/>
      <c r="B32" s="15"/>
      <c r="C32" s="15"/>
      <c r="D32" s="15"/>
      <c r="E32" s="15"/>
      <c r="F32" s="15"/>
      <c r="G32" s="15"/>
      <c r="H32" s="15"/>
      <c r="I32" s="15"/>
      <c r="J32" s="15"/>
      <c r="K32" s="15"/>
      <c r="L32" s="15"/>
      <c r="M32" s="15"/>
      <c r="N32" s="15"/>
      <c r="O32" s="15"/>
    </row>
    <row r="33" spans="1:15" x14ac:dyDescent="0.25">
      <c r="A33" s="15"/>
      <c r="B33" s="15"/>
      <c r="C33" s="15"/>
      <c r="D33" s="15"/>
      <c r="E33" s="15"/>
      <c r="F33" s="15"/>
      <c r="G33" s="15"/>
      <c r="H33" s="15"/>
      <c r="I33" s="15"/>
      <c r="J33" s="15"/>
      <c r="K33" s="15"/>
      <c r="L33" s="15"/>
      <c r="M33" s="15"/>
      <c r="N33" s="15"/>
      <c r="O33" s="15"/>
    </row>
    <row r="34" spans="1:15" x14ac:dyDescent="0.25">
      <c r="A34" s="15"/>
      <c r="B34" s="15"/>
      <c r="C34" s="15"/>
      <c r="D34" s="15"/>
      <c r="E34" s="15"/>
      <c r="F34" s="15"/>
      <c r="G34" s="15"/>
      <c r="H34" s="15"/>
      <c r="I34" s="15"/>
      <c r="J34" s="15"/>
      <c r="K34" s="15"/>
      <c r="L34" s="15"/>
      <c r="M34" s="15"/>
      <c r="N34" s="15"/>
      <c r="O34" s="15"/>
    </row>
    <row r="35" spans="1:15" x14ac:dyDescent="0.25">
      <c r="A35" s="15"/>
      <c r="B35" s="15"/>
      <c r="C35" s="15"/>
      <c r="D35" s="15"/>
      <c r="E35" s="15"/>
      <c r="F35" s="15"/>
      <c r="G35" s="15"/>
      <c r="H35" s="15"/>
      <c r="I35" s="15"/>
      <c r="J35" s="15"/>
      <c r="K35" s="15"/>
      <c r="L35" s="15"/>
      <c r="M35" s="15"/>
      <c r="N35" s="15"/>
      <c r="O35" s="15"/>
    </row>
    <row r="36" spans="1:15" x14ac:dyDescent="0.25">
      <c r="A36" s="15"/>
      <c r="B36" s="15"/>
      <c r="C36" s="15"/>
      <c r="D36" s="15"/>
      <c r="E36" s="15"/>
      <c r="F36" s="15"/>
      <c r="G36" s="15"/>
      <c r="H36" s="15"/>
      <c r="I36" s="15"/>
      <c r="J36" s="15"/>
      <c r="K36" s="15"/>
      <c r="L36" s="15"/>
      <c r="M36" s="15"/>
      <c r="N36" s="15"/>
      <c r="O36" s="15"/>
    </row>
    <row r="37" spans="1:15" ht="15" customHeight="1" x14ac:dyDescent="0.25">
      <c r="A37" s="277"/>
      <c r="B37" s="277"/>
      <c r="C37" s="277"/>
      <c r="D37" s="277"/>
      <c r="E37" s="277"/>
      <c r="F37" s="277"/>
      <c r="G37" s="277"/>
      <c r="H37" s="277"/>
      <c r="I37" s="277"/>
      <c r="J37" s="277"/>
      <c r="K37" s="16"/>
      <c r="L37" s="16"/>
    </row>
    <row r="38" spans="1:15" x14ac:dyDescent="0.25">
      <c r="A38" s="277"/>
      <c r="B38" s="277"/>
      <c r="C38" s="277"/>
      <c r="D38" s="277"/>
      <c r="E38" s="277"/>
      <c r="F38" s="277"/>
      <c r="G38" s="277"/>
      <c r="H38" s="277"/>
      <c r="I38" s="277"/>
      <c r="J38" s="277"/>
      <c r="K38" s="16"/>
      <c r="L38" s="16"/>
    </row>
  </sheetData>
  <mergeCells count="16">
    <mergeCell ref="A12:P13"/>
    <mergeCell ref="A6:P6"/>
    <mergeCell ref="A7:P7"/>
    <mergeCell ref="A8:P8"/>
    <mergeCell ref="A9:P9"/>
    <mergeCell ref="A10:P11"/>
    <mergeCell ref="O14:O15"/>
    <mergeCell ref="P14:P15"/>
    <mergeCell ref="A37:J38"/>
    <mergeCell ref="A22:A24"/>
    <mergeCell ref="A14:A15"/>
    <mergeCell ref="B14:E14"/>
    <mergeCell ref="F14:F15"/>
    <mergeCell ref="G14:L14"/>
    <mergeCell ref="M14:M15"/>
    <mergeCell ref="N14:N15"/>
  </mergeCells>
  <printOptions horizontalCentered="1" verticalCentered="1"/>
  <pageMargins left="3.937007874015748E-2" right="3.937007874015748E-2" top="0.35433070866141736" bottom="0.39370078740157483" header="0.31496062992125984" footer="0.23622047244094491"/>
  <pageSetup scale="35" fitToHeight="0" orientation="landscape" r:id="rId1"/>
  <rowBreaks count="1" manualBreakCount="1">
    <brk id="20"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P44"/>
  <sheetViews>
    <sheetView showGridLines="0" topLeftCell="A19" zoomScale="60" zoomScaleNormal="60" zoomScaleSheetLayoutView="20" workbookViewId="0">
      <selection activeCell="C24" sqref="C24"/>
    </sheetView>
  </sheetViews>
  <sheetFormatPr baseColWidth="10" defaultColWidth="11.42578125" defaultRowHeight="15" x14ac:dyDescent="0.25"/>
  <cols>
    <col min="1" max="1" width="36.85546875" style="10" customWidth="1"/>
    <col min="2" max="2" width="25.7109375" style="10" customWidth="1"/>
    <col min="3" max="5" width="20.7109375" style="10" customWidth="1"/>
    <col min="6" max="6" width="36"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9.7109375" style="10" customWidth="1"/>
    <col min="15" max="15" width="31.14062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100</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97" t="s">
        <v>34</v>
      </c>
      <c r="B16" s="297" t="s">
        <v>35</v>
      </c>
      <c r="C16" s="19" t="s">
        <v>36</v>
      </c>
      <c r="D16" s="20">
        <v>1</v>
      </c>
      <c r="E16" s="21" t="s">
        <v>37</v>
      </c>
      <c r="F16" s="320" t="s">
        <v>828</v>
      </c>
      <c r="G16" s="155">
        <v>0</v>
      </c>
      <c r="H16" s="156">
        <v>0</v>
      </c>
      <c r="I16" s="156">
        <v>0</v>
      </c>
      <c r="J16" s="156">
        <f>+SUM(G16:I16)</f>
        <v>0</v>
      </c>
      <c r="K16" s="13">
        <f>+IFERROR(J16/D16,"-")</f>
        <v>0</v>
      </c>
      <c r="L16" s="13">
        <f>+K16+100%</f>
        <v>1</v>
      </c>
      <c r="M16" s="297" t="s">
        <v>38</v>
      </c>
      <c r="N16" s="297" t="s">
        <v>39</v>
      </c>
      <c r="O16" s="317" t="s">
        <v>844</v>
      </c>
      <c r="P16" s="319"/>
    </row>
    <row r="17" spans="1:16" ht="99.95" customHeight="1" thickBot="1" x14ac:dyDescent="0.3">
      <c r="A17" s="297"/>
      <c r="B17" s="297"/>
      <c r="C17" s="19" t="s">
        <v>40</v>
      </c>
      <c r="D17" s="22">
        <v>1</v>
      </c>
      <c r="E17" s="21" t="s">
        <v>37</v>
      </c>
      <c r="F17" s="320"/>
      <c r="G17" s="155">
        <v>0</v>
      </c>
      <c r="H17" s="156">
        <v>0</v>
      </c>
      <c r="I17" s="156">
        <v>0</v>
      </c>
      <c r="J17" s="156">
        <f t="shared" ref="J17:J32" si="0">+SUM(G17:I17)</f>
        <v>0</v>
      </c>
      <c r="K17" s="13">
        <f t="shared" ref="K17:K32" si="1">+IFERROR(J17/D17,"-")</f>
        <v>0</v>
      </c>
      <c r="L17" s="13">
        <f>+K17+100%</f>
        <v>1</v>
      </c>
      <c r="M17" s="297"/>
      <c r="N17" s="297"/>
      <c r="O17" s="318"/>
      <c r="P17" s="319"/>
    </row>
    <row r="18" spans="1:16" ht="132" customHeight="1" thickBot="1" x14ac:dyDescent="0.3">
      <c r="A18" s="297"/>
      <c r="B18" s="162" t="s">
        <v>41</v>
      </c>
      <c r="C18" s="19" t="s">
        <v>42</v>
      </c>
      <c r="D18" s="24">
        <v>2</v>
      </c>
      <c r="E18" s="21" t="s">
        <v>37</v>
      </c>
      <c r="F18" s="143" t="s">
        <v>829</v>
      </c>
      <c r="G18" s="155">
        <v>0</v>
      </c>
      <c r="H18" s="156">
        <v>0</v>
      </c>
      <c r="I18" s="156">
        <v>0</v>
      </c>
      <c r="J18" s="156">
        <f t="shared" si="0"/>
        <v>0</v>
      </c>
      <c r="K18" s="13">
        <f t="shared" si="1"/>
        <v>0</v>
      </c>
      <c r="L18" s="13">
        <f>+K18+100%</f>
        <v>1</v>
      </c>
      <c r="M18" s="19" t="s">
        <v>38</v>
      </c>
      <c r="N18" s="19" t="s">
        <v>39</v>
      </c>
      <c r="O18" s="143" t="s">
        <v>845</v>
      </c>
      <c r="P18" s="19"/>
    </row>
    <row r="19" spans="1:16" ht="141.75" customHeight="1" thickBot="1" x14ac:dyDescent="0.3">
      <c r="A19" s="297" t="s">
        <v>43</v>
      </c>
      <c r="B19" s="162" t="s">
        <v>44</v>
      </c>
      <c r="C19" s="19" t="s">
        <v>45</v>
      </c>
      <c r="D19" s="25">
        <v>1</v>
      </c>
      <c r="E19" s="21" t="s">
        <v>37</v>
      </c>
      <c r="F19" s="143" t="s">
        <v>46</v>
      </c>
      <c r="G19" s="155">
        <v>0</v>
      </c>
      <c r="H19" s="156">
        <v>0</v>
      </c>
      <c r="I19" s="156">
        <v>0</v>
      </c>
      <c r="J19" s="156">
        <f t="shared" si="0"/>
        <v>0</v>
      </c>
      <c r="K19" s="13">
        <f t="shared" si="1"/>
        <v>0</v>
      </c>
      <c r="L19" s="13">
        <f>+K19+0%</f>
        <v>0</v>
      </c>
      <c r="M19" s="19" t="s">
        <v>47</v>
      </c>
      <c r="N19" s="84" t="s">
        <v>48</v>
      </c>
      <c r="O19" s="143" t="s">
        <v>846</v>
      </c>
      <c r="P19" s="19"/>
    </row>
    <row r="20" spans="1:16" ht="141" customHeight="1" thickBot="1" x14ac:dyDescent="0.3">
      <c r="A20" s="297"/>
      <c r="B20" s="162" t="s">
        <v>49</v>
      </c>
      <c r="C20" s="19" t="s">
        <v>50</v>
      </c>
      <c r="D20" s="24">
        <v>1</v>
      </c>
      <c r="E20" s="21" t="s">
        <v>37</v>
      </c>
      <c r="F20" s="143" t="s">
        <v>830</v>
      </c>
      <c r="G20" s="155">
        <v>0</v>
      </c>
      <c r="H20" s="156">
        <v>0</v>
      </c>
      <c r="I20" s="156">
        <v>0</v>
      </c>
      <c r="J20" s="156">
        <f t="shared" si="0"/>
        <v>0</v>
      </c>
      <c r="K20" s="13">
        <f t="shared" si="1"/>
        <v>0</v>
      </c>
      <c r="L20" s="13">
        <f>+K20+100%</f>
        <v>1</v>
      </c>
      <c r="M20" s="19" t="s">
        <v>47</v>
      </c>
      <c r="N20" s="19" t="s">
        <v>39</v>
      </c>
      <c r="O20" s="143" t="s">
        <v>847</v>
      </c>
      <c r="P20" s="19"/>
    </row>
    <row r="21" spans="1:16" ht="204.75" customHeight="1" thickBot="1" x14ac:dyDescent="0.3">
      <c r="A21" s="297"/>
      <c r="B21" s="162" t="s">
        <v>51</v>
      </c>
      <c r="C21" s="19" t="s">
        <v>52</v>
      </c>
      <c r="D21" s="20">
        <v>12</v>
      </c>
      <c r="E21" s="21" t="s">
        <v>37</v>
      </c>
      <c r="F21" s="143" t="s">
        <v>831</v>
      </c>
      <c r="G21" s="155">
        <v>1</v>
      </c>
      <c r="H21" s="156">
        <v>1</v>
      </c>
      <c r="I21" s="156">
        <v>1</v>
      </c>
      <c r="J21" s="156">
        <f t="shared" si="0"/>
        <v>3</v>
      </c>
      <c r="K21" s="13">
        <f t="shared" si="1"/>
        <v>0.25</v>
      </c>
      <c r="L21" s="13">
        <f>+K21+75%</f>
        <v>1</v>
      </c>
      <c r="M21" s="19" t="s">
        <v>47</v>
      </c>
      <c r="N21" s="84" t="s">
        <v>53</v>
      </c>
      <c r="O21" s="143" t="s">
        <v>848</v>
      </c>
      <c r="P21" s="19"/>
    </row>
    <row r="22" spans="1:16" ht="99.95" customHeight="1" thickBot="1" x14ac:dyDescent="0.3">
      <c r="A22" s="297"/>
      <c r="B22" s="162" t="s">
        <v>832</v>
      </c>
      <c r="C22" s="19" t="s">
        <v>833</v>
      </c>
      <c r="D22" s="20">
        <v>12</v>
      </c>
      <c r="E22" s="21" t="s">
        <v>37</v>
      </c>
      <c r="F22" s="143" t="s">
        <v>834</v>
      </c>
      <c r="G22" s="155">
        <v>1</v>
      </c>
      <c r="H22" s="156">
        <v>1</v>
      </c>
      <c r="I22" s="156">
        <v>1</v>
      </c>
      <c r="J22" s="156">
        <f t="shared" si="0"/>
        <v>3</v>
      </c>
      <c r="K22" s="13">
        <f t="shared" si="1"/>
        <v>0.25</v>
      </c>
      <c r="L22" s="13">
        <f>+K22+75%</f>
        <v>1</v>
      </c>
      <c r="M22" s="19" t="s">
        <v>47</v>
      </c>
      <c r="N22" s="19" t="s">
        <v>39</v>
      </c>
      <c r="O22" s="143" t="s">
        <v>849</v>
      </c>
      <c r="P22" s="19"/>
    </row>
    <row r="23" spans="1:16" ht="191.25" customHeight="1" thickBot="1" x14ac:dyDescent="0.3">
      <c r="A23" s="297" t="s">
        <v>54</v>
      </c>
      <c r="B23" s="162" t="s">
        <v>55</v>
      </c>
      <c r="C23" s="19" t="s">
        <v>56</v>
      </c>
      <c r="D23" s="20">
        <v>4</v>
      </c>
      <c r="E23" s="21" t="s">
        <v>37</v>
      </c>
      <c r="F23" s="143" t="s">
        <v>835</v>
      </c>
      <c r="G23" s="155">
        <v>0</v>
      </c>
      <c r="H23" s="156">
        <v>0</v>
      </c>
      <c r="I23" s="156">
        <v>0</v>
      </c>
      <c r="J23" s="156">
        <f t="shared" si="0"/>
        <v>0</v>
      </c>
      <c r="K23" s="13">
        <f t="shared" si="1"/>
        <v>0</v>
      </c>
      <c r="L23" s="13">
        <f>+K23+100%</f>
        <v>1</v>
      </c>
      <c r="M23" s="19" t="s">
        <v>57</v>
      </c>
      <c r="N23" s="19" t="s">
        <v>39</v>
      </c>
      <c r="O23" s="143" t="s">
        <v>850</v>
      </c>
      <c r="P23" s="19"/>
    </row>
    <row r="24" spans="1:16" ht="116.25" customHeight="1" thickBot="1" x14ac:dyDescent="0.3">
      <c r="A24" s="297"/>
      <c r="B24" s="162" t="s">
        <v>58</v>
      </c>
      <c r="C24" s="19" t="s">
        <v>59</v>
      </c>
      <c r="D24" s="20">
        <v>1</v>
      </c>
      <c r="E24" s="21" t="s">
        <v>60</v>
      </c>
      <c r="F24" s="143" t="s">
        <v>61</v>
      </c>
      <c r="G24" s="155">
        <v>1</v>
      </c>
      <c r="H24" s="156">
        <v>1</v>
      </c>
      <c r="I24" s="156">
        <v>1</v>
      </c>
      <c r="J24" s="156">
        <f t="shared" si="0"/>
        <v>3</v>
      </c>
      <c r="K24" s="13">
        <f t="shared" si="1"/>
        <v>3</v>
      </c>
      <c r="L24" s="13">
        <f>+K24+600%</f>
        <v>9</v>
      </c>
      <c r="M24" s="19" t="s">
        <v>57</v>
      </c>
      <c r="N24" s="19" t="s">
        <v>39</v>
      </c>
      <c r="O24" s="143" t="s">
        <v>851</v>
      </c>
      <c r="P24" s="19"/>
    </row>
    <row r="25" spans="1:16" ht="135.75" customHeight="1" thickBot="1" x14ac:dyDescent="0.3">
      <c r="A25" s="297" t="s">
        <v>836</v>
      </c>
      <c r="B25" s="162" t="s">
        <v>62</v>
      </c>
      <c r="C25" s="19" t="s">
        <v>63</v>
      </c>
      <c r="D25" s="20">
        <v>1</v>
      </c>
      <c r="E25" s="21" t="s">
        <v>60</v>
      </c>
      <c r="F25" s="80" t="s">
        <v>837</v>
      </c>
      <c r="G25" s="155">
        <v>0</v>
      </c>
      <c r="H25" s="156">
        <v>0</v>
      </c>
      <c r="I25" s="156">
        <v>0</v>
      </c>
      <c r="J25" s="156">
        <f t="shared" si="0"/>
        <v>0</v>
      </c>
      <c r="K25" s="13">
        <f t="shared" si="1"/>
        <v>0</v>
      </c>
      <c r="L25" s="13">
        <f>+K25+0%</f>
        <v>0</v>
      </c>
      <c r="M25" s="19" t="s">
        <v>64</v>
      </c>
      <c r="N25" s="19" t="s">
        <v>39</v>
      </c>
      <c r="O25" s="143" t="s">
        <v>852</v>
      </c>
      <c r="P25" s="19"/>
    </row>
    <row r="26" spans="1:16" ht="99.95" customHeight="1" thickBot="1" x14ac:dyDescent="0.3">
      <c r="A26" s="297"/>
      <c r="B26" s="161" t="s">
        <v>65</v>
      </c>
      <c r="C26" s="19" t="s">
        <v>66</v>
      </c>
      <c r="D26" s="20">
        <v>1</v>
      </c>
      <c r="E26" s="21" t="s">
        <v>37</v>
      </c>
      <c r="F26" s="60" t="s">
        <v>838</v>
      </c>
      <c r="G26" s="155">
        <v>0</v>
      </c>
      <c r="H26" s="156">
        <v>0</v>
      </c>
      <c r="I26" s="156">
        <v>0</v>
      </c>
      <c r="J26" s="156">
        <f t="shared" si="0"/>
        <v>0</v>
      </c>
      <c r="K26" s="13">
        <f t="shared" si="1"/>
        <v>0</v>
      </c>
      <c r="L26" s="13">
        <f>+K26+100%</f>
        <v>1</v>
      </c>
      <c r="M26" s="19" t="s">
        <v>64</v>
      </c>
      <c r="N26" s="19" t="s">
        <v>67</v>
      </c>
      <c r="O26" s="143" t="s">
        <v>853</v>
      </c>
      <c r="P26" s="19"/>
    </row>
    <row r="27" spans="1:16" ht="141" customHeight="1" thickBot="1" x14ac:dyDescent="0.3">
      <c r="A27" s="297"/>
      <c r="B27" s="162" t="s">
        <v>68</v>
      </c>
      <c r="C27" s="19" t="s">
        <v>69</v>
      </c>
      <c r="D27" s="20">
        <v>1</v>
      </c>
      <c r="E27" s="21" t="s">
        <v>37</v>
      </c>
      <c r="F27" s="60" t="s">
        <v>70</v>
      </c>
      <c r="G27" s="155">
        <v>0</v>
      </c>
      <c r="H27" s="156">
        <v>0</v>
      </c>
      <c r="I27" s="156">
        <v>1</v>
      </c>
      <c r="J27" s="156">
        <f t="shared" si="0"/>
        <v>1</v>
      </c>
      <c r="K27" s="13">
        <f t="shared" si="1"/>
        <v>1</v>
      </c>
      <c r="L27" s="13">
        <f>+K27+0%</f>
        <v>1</v>
      </c>
      <c r="M27" s="19" t="s">
        <v>64</v>
      </c>
      <c r="N27" s="84" t="s">
        <v>71</v>
      </c>
      <c r="O27" s="143" t="s">
        <v>854</v>
      </c>
      <c r="P27" s="19"/>
    </row>
    <row r="28" spans="1:16" ht="142.5" customHeight="1" thickBot="1" x14ac:dyDescent="0.3">
      <c r="A28" s="297" t="s">
        <v>839</v>
      </c>
      <c r="B28" s="162" t="s">
        <v>840</v>
      </c>
      <c r="C28" s="19" t="s">
        <v>72</v>
      </c>
      <c r="D28" s="20">
        <v>1</v>
      </c>
      <c r="E28" s="21" t="s">
        <v>37</v>
      </c>
      <c r="F28" s="80" t="s">
        <v>73</v>
      </c>
      <c r="G28" s="155">
        <v>0</v>
      </c>
      <c r="H28" s="156">
        <v>0</v>
      </c>
      <c r="I28" s="156">
        <v>0</v>
      </c>
      <c r="J28" s="156">
        <f t="shared" si="0"/>
        <v>0</v>
      </c>
      <c r="K28" s="13">
        <f t="shared" si="1"/>
        <v>0</v>
      </c>
      <c r="L28" s="13">
        <f>+K28+0%</f>
        <v>0</v>
      </c>
      <c r="M28" s="19" t="s">
        <v>74</v>
      </c>
      <c r="N28" s="19" t="s">
        <v>39</v>
      </c>
      <c r="O28" s="143" t="s">
        <v>855</v>
      </c>
      <c r="P28" s="19"/>
    </row>
    <row r="29" spans="1:16" ht="144.75" customHeight="1" thickBot="1" x14ac:dyDescent="0.3">
      <c r="A29" s="297"/>
      <c r="B29" s="162" t="s">
        <v>841</v>
      </c>
      <c r="C29" s="19" t="s">
        <v>72</v>
      </c>
      <c r="D29" s="20">
        <v>1</v>
      </c>
      <c r="E29" s="21" t="s">
        <v>37</v>
      </c>
      <c r="F29" s="80" t="s">
        <v>75</v>
      </c>
      <c r="G29" s="155">
        <v>0</v>
      </c>
      <c r="H29" s="156">
        <v>0</v>
      </c>
      <c r="I29" s="156">
        <v>0</v>
      </c>
      <c r="J29" s="156">
        <f t="shared" si="0"/>
        <v>0</v>
      </c>
      <c r="K29" s="13">
        <f t="shared" si="1"/>
        <v>0</v>
      </c>
      <c r="L29" s="13">
        <f>+K29+100%</f>
        <v>1</v>
      </c>
      <c r="M29" s="19" t="s">
        <v>74</v>
      </c>
      <c r="N29" s="19" t="s">
        <v>39</v>
      </c>
      <c r="O29" s="143" t="s">
        <v>856</v>
      </c>
      <c r="P29" s="19"/>
    </row>
    <row r="30" spans="1:16" ht="189.75" customHeight="1" thickBot="1" x14ac:dyDescent="0.3">
      <c r="A30" s="297"/>
      <c r="B30" s="162" t="s">
        <v>76</v>
      </c>
      <c r="C30" s="19" t="s">
        <v>77</v>
      </c>
      <c r="D30" s="20">
        <v>1</v>
      </c>
      <c r="E30" s="21" t="s">
        <v>37</v>
      </c>
      <c r="F30" s="80" t="s">
        <v>842</v>
      </c>
      <c r="G30" s="155">
        <v>0</v>
      </c>
      <c r="H30" s="156">
        <v>0</v>
      </c>
      <c r="I30" s="156">
        <v>1</v>
      </c>
      <c r="J30" s="156">
        <f t="shared" si="0"/>
        <v>1</v>
      </c>
      <c r="K30" s="13">
        <f t="shared" si="1"/>
        <v>1</v>
      </c>
      <c r="L30" s="13">
        <f>+K30+0%</f>
        <v>1</v>
      </c>
      <c r="M30" s="19" t="s">
        <v>74</v>
      </c>
      <c r="N30" s="19" t="s">
        <v>39</v>
      </c>
      <c r="O30" s="143" t="s">
        <v>857</v>
      </c>
      <c r="P30" s="19"/>
    </row>
    <row r="31" spans="1:16" ht="117" customHeight="1" thickBot="1" x14ac:dyDescent="0.3">
      <c r="A31" s="297"/>
      <c r="B31" s="162" t="s">
        <v>78</v>
      </c>
      <c r="C31" s="19" t="s">
        <v>79</v>
      </c>
      <c r="D31" s="20">
        <v>1</v>
      </c>
      <c r="E31" s="21" t="s">
        <v>60</v>
      </c>
      <c r="F31" s="80" t="s">
        <v>80</v>
      </c>
      <c r="G31" s="155">
        <v>0</v>
      </c>
      <c r="H31" s="156">
        <v>0</v>
      </c>
      <c r="I31" s="156">
        <v>0</v>
      </c>
      <c r="J31" s="156">
        <f t="shared" si="0"/>
        <v>0</v>
      </c>
      <c r="K31" s="13">
        <f t="shared" si="1"/>
        <v>0</v>
      </c>
      <c r="L31" s="13">
        <f>+K31+100%</f>
        <v>1</v>
      </c>
      <c r="M31" s="19" t="s">
        <v>74</v>
      </c>
      <c r="N31" s="19" t="s">
        <v>81</v>
      </c>
      <c r="O31" s="143" t="s">
        <v>858</v>
      </c>
      <c r="P31" s="19"/>
    </row>
    <row r="32" spans="1:16" ht="160.5" customHeight="1" thickBot="1" x14ac:dyDescent="0.3">
      <c r="A32" s="297"/>
      <c r="B32" s="162" t="s">
        <v>82</v>
      </c>
      <c r="C32" s="19" t="s">
        <v>83</v>
      </c>
      <c r="D32" s="20">
        <v>12</v>
      </c>
      <c r="E32" s="21" t="s">
        <v>37</v>
      </c>
      <c r="F32" s="80" t="s">
        <v>843</v>
      </c>
      <c r="G32" s="155">
        <v>1</v>
      </c>
      <c r="H32" s="156">
        <v>1</v>
      </c>
      <c r="I32" s="156">
        <v>1</v>
      </c>
      <c r="J32" s="156">
        <f t="shared" si="0"/>
        <v>3</v>
      </c>
      <c r="K32" s="13">
        <f t="shared" si="1"/>
        <v>0.25</v>
      </c>
      <c r="L32" s="13">
        <f>+K32+75%</f>
        <v>1</v>
      </c>
      <c r="M32" s="19" t="s">
        <v>74</v>
      </c>
      <c r="N32" s="19" t="s">
        <v>84</v>
      </c>
      <c r="O32" s="143" t="s">
        <v>859</v>
      </c>
      <c r="P32" s="19"/>
    </row>
    <row r="33" spans="1:15" x14ac:dyDescent="0.25">
      <c r="A33" s="14"/>
      <c r="B33" s="14"/>
      <c r="C33" s="14"/>
      <c r="D33" s="14"/>
      <c r="E33" s="14"/>
      <c r="F33" s="15"/>
      <c r="G33" s="14"/>
      <c r="H33" s="14"/>
      <c r="I33" s="14"/>
      <c r="J33" s="14"/>
      <c r="K33" s="14"/>
      <c r="L33" s="14"/>
      <c r="M33" s="15"/>
      <c r="N33" s="15"/>
      <c r="O33" s="15"/>
    </row>
    <row r="34" spans="1:15" x14ac:dyDescent="0.25">
      <c r="A34" s="14"/>
      <c r="B34" s="14"/>
      <c r="C34" s="14"/>
      <c r="D34" s="14"/>
      <c r="E34" s="14"/>
      <c r="F34" s="15"/>
      <c r="G34" s="14"/>
      <c r="H34" s="14"/>
      <c r="I34" s="14"/>
      <c r="J34" s="14"/>
      <c r="K34" s="14"/>
      <c r="L34" s="14"/>
      <c r="M34" s="15"/>
      <c r="N34" s="15"/>
      <c r="O34" s="15"/>
    </row>
    <row r="35" spans="1:15" x14ac:dyDescent="0.25">
      <c r="A35" s="14"/>
      <c r="B35" s="14"/>
      <c r="C35" s="14"/>
      <c r="D35" s="14"/>
      <c r="E35" s="14"/>
      <c r="F35" s="15"/>
      <c r="G35" s="14"/>
      <c r="H35" s="14"/>
      <c r="I35" s="14"/>
      <c r="J35" s="14"/>
      <c r="K35" s="14"/>
      <c r="L35" s="14"/>
      <c r="M35" s="15"/>
      <c r="N35" s="15"/>
      <c r="O35" s="15"/>
    </row>
    <row r="36" spans="1:15" x14ac:dyDescent="0.25">
      <c r="A36" s="14"/>
      <c r="B36" s="14"/>
      <c r="C36" s="14"/>
      <c r="D36" s="14"/>
      <c r="E36" s="14"/>
      <c r="F36" s="15"/>
      <c r="G36" s="14"/>
      <c r="H36" s="14"/>
      <c r="I36" s="14"/>
      <c r="J36" s="14"/>
      <c r="K36" s="14"/>
      <c r="L36" s="14"/>
      <c r="M36" s="15"/>
      <c r="N36" s="15"/>
      <c r="O36" s="15"/>
    </row>
    <row r="37" spans="1:15" x14ac:dyDescent="0.25">
      <c r="A37" s="15"/>
      <c r="B37" s="15"/>
      <c r="C37" s="15"/>
      <c r="D37" s="15"/>
      <c r="E37" s="15"/>
      <c r="F37" s="15"/>
      <c r="G37" s="15"/>
      <c r="H37" s="15"/>
      <c r="I37" s="15"/>
      <c r="J37" s="15"/>
      <c r="K37" s="15"/>
      <c r="L37" s="15"/>
      <c r="M37" s="15"/>
      <c r="N37" s="15"/>
      <c r="O37" s="15"/>
    </row>
    <row r="38" spans="1:15" x14ac:dyDescent="0.25">
      <c r="A38" s="15"/>
      <c r="B38" s="15"/>
      <c r="C38" s="15"/>
      <c r="D38" s="15"/>
      <c r="E38" s="15"/>
      <c r="F38" s="15"/>
      <c r="G38" s="15"/>
      <c r="H38" s="15"/>
      <c r="I38" s="15"/>
      <c r="J38" s="15"/>
      <c r="K38" s="15"/>
      <c r="L38" s="15"/>
      <c r="M38" s="15"/>
      <c r="N38" s="15"/>
      <c r="O38" s="15"/>
    </row>
    <row r="39" spans="1:15" x14ac:dyDescent="0.25">
      <c r="A39" s="15"/>
      <c r="B39" s="15"/>
      <c r="C39" s="15"/>
      <c r="D39" s="15"/>
      <c r="E39" s="15"/>
      <c r="F39" s="15"/>
      <c r="G39" s="15"/>
      <c r="H39" s="15"/>
      <c r="I39" s="15"/>
      <c r="J39" s="15"/>
      <c r="K39" s="15"/>
      <c r="L39" s="15"/>
      <c r="M39" s="15"/>
      <c r="N39" s="15"/>
      <c r="O39" s="15"/>
    </row>
    <row r="40" spans="1:15" x14ac:dyDescent="0.25">
      <c r="A40" s="15"/>
      <c r="B40" s="15"/>
      <c r="C40" s="15"/>
      <c r="D40" s="15"/>
      <c r="E40" s="15"/>
      <c r="F40" s="15"/>
      <c r="G40" s="15"/>
      <c r="H40" s="15"/>
      <c r="I40" s="15"/>
      <c r="J40" s="15"/>
      <c r="K40" s="15"/>
      <c r="L40" s="15"/>
      <c r="M40" s="15"/>
      <c r="N40" s="15"/>
      <c r="O40" s="15"/>
    </row>
    <row r="41" spans="1:15" x14ac:dyDescent="0.25">
      <c r="A41" s="15"/>
      <c r="B41" s="15"/>
      <c r="C41" s="15"/>
      <c r="D41" s="15"/>
      <c r="E41" s="15"/>
      <c r="F41" s="15"/>
      <c r="G41" s="15"/>
      <c r="H41" s="15"/>
      <c r="I41" s="15"/>
      <c r="J41" s="15"/>
      <c r="K41" s="15"/>
      <c r="L41" s="15"/>
      <c r="M41" s="15"/>
      <c r="N41" s="15"/>
      <c r="O41" s="15"/>
    </row>
    <row r="42" spans="1:15" x14ac:dyDescent="0.25">
      <c r="A42" s="15"/>
      <c r="B42" s="15"/>
      <c r="C42" s="15"/>
      <c r="D42" s="15"/>
      <c r="E42" s="15"/>
      <c r="F42" s="15"/>
      <c r="G42" s="15"/>
      <c r="H42" s="15"/>
      <c r="I42" s="15"/>
      <c r="J42" s="15"/>
      <c r="K42" s="15"/>
      <c r="L42" s="15"/>
      <c r="M42" s="15"/>
      <c r="N42" s="15"/>
      <c r="O42" s="15"/>
    </row>
    <row r="43" spans="1:15" ht="15" customHeight="1" x14ac:dyDescent="0.25">
      <c r="A43" s="277"/>
      <c r="B43" s="277"/>
      <c r="C43" s="277"/>
      <c r="D43" s="277"/>
      <c r="E43" s="277"/>
      <c r="F43" s="277"/>
      <c r="G43" s="277"/>
      <c r="H43" s="277"/>
      <c r="I43" s="277"/>
      <c r="J43" s="277"/>
      <c r="K43" s="16"/>
      <c r="L43" s="16"/>
    </row>
    <row r="44" spans="1:15" x14ac:dyDescent="0.25">
      <c r="A44" s="277"/>
      <c r="B44" s="277"/>
      <c r="C44" s="277"/>
      <c r="D44" s="277"/>
      <c r="E44" s="277"/>
      <c r="F44" s="277"/>
      <c r="G44" s="277"/>
      <c r="H44" s="277"/>
      <c r="I44" s="277"/>
      <c r="J44" s="277"/>
      <c r="K44" s="16"/>
      <c r="L44" s="16"/>
    </row>
  </sheetData>
  <mergeCells count="26">
    <mergeCell ref="A12:P13"/>
    <mergeCell ref="A6:P6"/>
    <mergeCell ref="A7:P7"/>
    <mergeCell ref="A8:P8"/>
    <mergeCell ref="A9:P9"/>
    <mergeCell ref="A10:P11"/>
    <mergeCell ref="A14:A15"/>
    <mergeCell ref="B14:E14"/>
    <mergeCell ref="F14:F15"/>
    <mergeCell ref="G14:L14"/>
    <mergeCell ref="M14:M15"/>
    <mergeCell ref="A43:J44"/>
    <mergeCell ref="A16:A18"/>
    <mergeCell ref="B16:B17"/>
    <mergeCell ref="F16:F17"/>
    <mergeCell ref="A19:A22"/>
    <mergeCell ref="A23:A24"/>
    <mergeCell ref="A25:A27"/>
    <mergeCell ref="A28:A32"/>
    <mergeCell ref="M16:M17"/>
    <mergeCell ref="N16:N17"/>
    <mergeCell ref="O16:O17"/>
    <mergeCell ref="P16:P17"/>
    <mergeCell ref="O14:O15"/>
    <mergeCell ref="P14:P15"/>
    <mergeCell ref="N14:N15"/>
  </mergeCells>
  <dataValidations count="1">
    <dataValidation type="list" allowBlank="1" showInputMessage="1" showErrorMessage="1" sqref="E16:E26">
      <formula1>"A,B,C"</formula1>
    </dataValidation>
  </dataValidations>
  <printOptions horizontalCentered="1" verticalCentered="1"/>
  <pageMargins left="3.937007874015748E-2" right="3.937007874015748E-2" top="0.35433070866141736" bottom="0.39370078740157483" header="0.31496062992125984" footer="0.23622047244094491"/>
  <pageSetup scale="35" fitToHeight="0" orientation="landscape" r:id="rId1"/>
  <rowBreaks count="2" manualBreakCount="2">
    <brk id="22" max="15" man="1"/>
    <brk id="27" max="15" man="1"/>
  </rowBreaks>
  <ignoredErrors>
    <ignoredError sqref="L2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4"/>
  <sheetViews>
    <sheetView showGridLines="0" zoomScale="60" zoomScaleNormal="60" zoomScaleSheetLayoutView="20" workbookViewId="0"/>
  </sheetViews>
  <sheetFormatPr baseColWidth="10" defaultColWidth="11.42578125" defaultRowHeight="15" x14ac:dyDescent="0.25"/>
  <cols>
    <col min="1" max="1" width="40.42578125" style="10" customWidth="1"/>
    <col min="2" max="2" width="25.7109375" style="10" customWidth="1"/>
    <col min="3" max="3" width="23.140625" style="10" customWidth="1"/>
    <col min="4" max="5" width="20.7109375" style="10" customWidth="1"/>
    <col min="6" max="6" width="42.425781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19.85546875" style="10" customWidth="1"/>
    <col min="15" max="15" width="35.4257812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101</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96" t="s">
        <v>860</v>
      </c>
      <c r="B16" s="76" t="s">
        <v>861</v>
      </c>
      <c r="C16" s="66" t="s">
        <v>862</v>
      </c>
      <c r="D16" s="20">
        <v>12</v>
      </c>
      <c r="E16" s="125" t="s">
        <v>37</v>
      </c>
      <c r="F16" s="68" t="s">
        <v>863</v>
      </c>
      <c r="G16" s="155">
        <v>1</v>
      </c>
      <c r="H16" s="155">
        <v>1</v>
      </c>
      <c r="I16" s="155">
        <v>1</v>
      </c>
      <c r="J16" s="156">
        <f>+SUM(G16:I16)</f>
        <v>3</v>
      </c>
      <c r="K16" s="13">
        <f>+IFERROR(J16/D16,"-")</f>
        <v>0.25</v>
      </c>
      <c r="L16" s="13">
        <f>+K16+75%</f>
        <v>1</v>
      </c>
      <c r="M16" s="66" t="s">
        <v>879</v>
      </c>
      <c r="N16" s="66" t="s">
        <v>880</v>
      </c>
      <c r="O16" s="147" t="s">
        <v>881</v>
      </c>
      <c r="P16" s="76"/>
    </row>
    <row r="17" spans="1:16" ht="99.95" customHeight="1" thickBot="1" x14ac:dyDescent="0.3">
      <c r="A17" s="296"/>
      <c r="B17" s="76" t="s">
        <v>864</v>
      </c>
      <c r="C17" s="66" t="s">
        <v>865</v>
      </c>
      <c r="D17" s="22">
        <v>12</v>
      </c>
      <c r="E17" s="125" t="s">
        <v>37</v>
      </c>
      <c r="F17" s="68" t="s">
        <v>866</v>
      </c>
      <c r="G17" s="155">
        <v>1</v>
      </c>
      <c r="H17" s="155">
        <v>1</v>
      </c>
      <c r="I17" s="155">
        <v>1</v>
      </c>
      <c r="J17" s="156">
        <f t="shared" ref="J17:J20" si="0">+SUM(G17:I17)</f>
        <v>3</v>
      </c>
      <c r="K17" s="13">
        <f t="shared" ref="K17:K20" si="1">+IFERROR(J17/D17,"-")</f>
        <v>0.25</v>
      </c>
      <c r="L17" s="13">
        <f>+K17+75%</f>
        <v>1</v>
      </c>
      <c r="M17" s="66" t="s">
        <v>879</v>
      </c>
      <c r="N17" s="66" t="s">
        <v>754</v>
      </c>
      <c r="O17" s="147" t="s">
        <v>882</v>
      </c>
      <c r="P17" s="76"/>
    </row>
    <row r="18" spans="1:16" ht="132" customHeight="1" thickBot="1" x14ac:dyDescent="0.3">
      <c r="A18" s="66" t="s">
        <v>867</v>
      </c>
      <c r="B18" s="76" t="s">
        <v>868</v>
      </c>
      <c r="C18" s="144" t="s">
        <v>869</v>
      </c>
      <c r="D18" s="24">
        <v>4</v>
      </c>
      <c r="E18" s="125" t="s">
        <v>37</v>
      </c>
      <c r="F18" s="68" t="s">
        <v>870</v>
      </c>
      <c r="G18" s="155">
        <v>0</v>
      </c>
      <c r="H18" s="155">
        <v>0</v>
      </c>
      <c r="I18" s="155">
        <v>0</v>
      </c>
      <c r="J18" s="156">
        <f t="shared" si="0"/>
        <v>0</v>
      </c>
      <c r="K18" s="13">
        <f t="shared" si="1"/>
        <v>0</v>
      </c>
      <c r="L18" s="13">
        <f>+K18+100%</f>
        <v>1</v>
      </c>
      <c r="M18" s="66" t="s">
        <v>879</v>
      </c>
      <c r="N18" s="66" t="s">
        <v>880</v>
      </c>
      <c r="O18" s="148" t="s">
        <v>883</v>
      </c>
      <c r="P18" s="76"/>
    </row>
    <row r="19" spans="1:16" ht="123.75" customHeight="1" thickBot="1" x14ac:dyDescent="0.3">
      <c r="A19" s="144" t="s">
        <v>871</v>
      </c>
      <c r="B19" s="76" t="s">
        <v>872</v>
      </c>
      <c r="C19" s="66" t="s">
        <v>873</v>
      </c>
      <c r="D19" s="25">
        <v>12</v>
      </c>
      <c r="E19" s="125" t="s">
        <v>37</v>
      </c>
      <c r="F19" s="68" t="s">
        <v>874</v>
      </c>
      <c r="G19" s="155">
        <v>1</v>
      </c>
      <c r="H19" s="155">
        <v>1</v>
      </c>
      <c r="I19" s="155">
        <v>1</v>
      </c>
      <c r="J19" s="156">
        <f t="shared" si="0"/>
        <v>3</v>
      </c>
      <c r="K19" s="13">
        <f t="shared" si="1"/>
        <v>0.25</v>
      </c>
      <c r="L19" s="13">
        <f>+K19+75%</f>
        <v>1</v>
      </c>
      <c r="M19" s="66" t="s">
        <v>879</v>
      </c>
      <c r="N19" s="66" t="s">
        <v>880</v>
      </c>
      <c r="O19" s="148" t="s">
        <v>884</v>
      </c>
      <c r="P19" s="76"/>
    </row>
    <row r="20" spans="1:16" ht="118.5" customHeight="1" thickBot="1" x14ac:dyDescent="0.3">
      <c r="A20" s="144" t="s">
        <v>875</v>
      </c>
      <c r="B20" s="145" t="s">
        <v>876</v>
      </c>
      <c r="C20" s="144" t="s">
        <v>877</v>
      </c>
      <c r="D20" s="24">
        <v>4</v>
      </c>
      <c r="E20" s="125" t="s">
        <v>37</v>
      </c>
      <c r="F20" s="146" t="s">
        <v>878</v>
      </c>
      <c r="G20" s="155">
        <v>0</v>
      </c>
      <c r="H20" s="155">
        <v>0</v>
      </c>
      <c r="I20" s="155">
        <v>0</v>
      </c>
      <c r="J20" s="156">
        <f t="shared" si="0"/>
        <v>0</v>
      </c>
      <c r="K20" s="13">
        <f t="shared" si="1"/>
        <v>0</v>
      </c>
      <c r="L20" s="13">
        <f>+K20+100%</f>
        <v>1</v>
      </c>
      <c r="M20" s="66" t="s">
        <v>879</v>
      </c>
      <c r="N20" s="66" t="s">
        <v>885</v>
      </c>
      <c r="O20" s="149" t="s">
        <v>886</v>
      </c>
      <c r="P20" s="150" t="s">
        <v>887</v>
      </c>
    </row>
    <row r="21" spans="1:16" x14ac:dyDescent="0.25">
      <c r="A21" s="14"/>
      <c r="B21" s="14"/>
      <c r="C21" s="14"/>
      <c r="D21" s="14"/>
      <c r="E21" s="14"/>
      <c r="F21" s="15"/>
      <c r="G21" s="14"/>
      <c r="H21" s="14"/>
      <c r="I21" s="14"/>
      <c r="J21" s="14"/>
      <c r="K21" s="14"/>
      <c r="L21" s="14"/>
      <c r="M21" s="15"/>
      <c r="N21" s="15"/>
      <c r="O21" s="15"/>
    </row>
    <row r="22" spans="1:16" x14ac:dyDescent="0.25">
      <c r="A22" s="14"/>
      <c r="B22" s="14"/>
      <c r="C22" s="166"/>
      <c r="D22" s="166"/>
      <c r="E22" s="166"/>
      <c r="F22" s="166"/>
      <c r="G22" s="166"/>
      <c r="H22" s="166"/>
      <c r="I22" s="166"/>
      <c r="J22" s="166"/>
      <c r="K22" s="166"/>
      <c r="L22" s="166"/>
      <c r="M22" s="166"/>
      <c r="N22" s="166"/>
      <c r="O22" s="15"/>
    </row>
    <row r="23" spans="1:16" x14ac:dyDescent="0.25">
      <c r="A23" s="14"/>
      <c r="B23" s="14"/>
      <c r="C23" s="166"/>
      <c r="D23" s="166"/>
      <c r="E23" s="166"/>
      <c r="F23" s="166"/>
      <c r="G23" s="166"/>
      <c r="H23" s="166"/>
      <c r="I23" s="166"/>
      <c r="J23" s="166"/>
      <c r="K23" s="166"/>
      <c r="L23" s="166"/>
      <c r="M23" s="166"/>
      <c r="N23" s="166"/>
      <c r="O23" s="15"/>
    </row>
    <row r="24" spans="1:16" x14ac:dyDescent="0.25">
      <c r="A24" s="14"/>
      <c r="B24" s="14"/>
      <c r="C24" s="166"/>
      <c r="D24" s="166"/>
      <c r="E24" s="166"/>
      <c r="F24" s="166"/>
      <c r="G24" s="166"/>
      <c r="H24" s="166"/>
      <c r="I24" s="166"/>
      <c r="J24" s="166"/>
      <c r="K24" s="166"/>
      <c r="L24" s="166"/>
      <c r="M24" s="166"/>
      <c r="N24" s="166"/>
      <c r="O24" s="15"/>
    </row>
    <row r="25" spans="1:16" x14ac:dyDescent="0.25">
      <c r="A25" s="15"/>
      <c r="B25" s="15"/>
      <c r="C25" s="166"/>
      <c r="D25" s="166"/>
      <c r="E25" s="166"/>
      <c r="F25" s="166"/>
      <c r="G25" s="166"/>
      <c r="H25" s="166"/>
      <c r="I25" s="166"/>
      <c r="J25" s="166"/>
      <c r="K25" s="166"/>
      <c r="L25" s="166"/>
      <c r="M25" s="166"/>
      <c r="N25" s="166"/>
      <c r="O25" s="15"/>
    </row>
    <row r="26" spans="1:16" x14ac:dyDescent="0.25">
      <c r="A26" s="15"/>
      <c r="B26" s="15"/>
      <c r="C26" s="166"/>
      <c r="D26" s="166"/>
      <c r="E26" s="166"/>
      <c r="F26" s="166"/>
      <c r="G26" s="166"/>
      <c r="H26" s="166"/>
      <c r="I26" s="166"/>
      <c r="J26" s="166"/>
      <c r="K26" s="166"/>
      <c r="L26" s="166"/>
      <c r="M26" s="166"/>
      <c r="N26" s="166"/>
      <c r="O26" s="15"/>
    </row>
    <row r="27" spans="1:16" x14ac:dyDescent="0.25">
      <c r="A27" s="15"/>
      <c r="B27" s="15"/>
      <c r="C27" s="166"/>
      <c r="D27" s="166"/>
      <c r="E27" s="166"/>
      <c r="F27" s="166"/>
      <c r="G27" s="166"/>
      <c r="H27" s="166"/>
      <c r="I27" s="166"/>
      <c r="J27" s="166"/>
      <c r="K27" s="166"/>
      <c r="L27" s="166"/>
      <c r="M27" s="166"/>
      <c r="N27" s="166"/>
      <c r="O27" s="15"/>
    </row>
    <row r="28" spans="1:16" x14ac:dyDescent="0.25">
      <c r="A28" s="15"/>
      <c r="B28" s="15"/>
      <c r="C28" s="166"/>
      <c r="D28" s="166"/>
      <c r="E28" s="166"/>
      <c r="F28" s="166"/>
      <c r="G28" s="166"/>
      <c r="H28" s="166"/>
      <c r="I28" s="166"/>
      <c r="J28" s="166"/>
      <c r="K28" s="166"/>
      <c r="L28" s="166"/>
      <c r="M28" s="166"/>
      <c r="N28" s="166"/>
      <c r="O28" s="15"/>
    </row>
    <row r="29" spans="1:16" x14ac:dyDescent="0.25">
      <c r="A29" s="15"/>
      <c r="B29" s="15"/>
      <c r="C29" s="166"/>
      <c r="D29" s="166"/>
      <c r="E29" s="166"/>
      <c r="F29" s="166"/>
      <c r="G29" s="166"/>
      <c r="H29" s="166"/>
      <c r="I29" s="166"/>
      <c r="J29" s="166"/>
      <c r="K29" s="166"/>
      <c r="L29" s="166"/>
      <c r="M29" s="166"/>
      <c r="N29" s="166"/>
      <c r="O29" s="15"/>
    </row>
    <row r="30" spans="1:16" x14ac:dyDescent="0.25">
      <c r="A30" s="15"/>
      <c r="B30" s="15"/>
      <c r="C30" s="166"/>
      <c r="D30" s="166"/>
      <c r="E30" s="166"/>
      <c r="F30" s="166"/>
      <c r="G30" s="166"/>
      <c r="H30" s="166"/>
      <c r="I30" s="166"/>
      <c r="J30" s="166"/>
      <c r="K30" s="166"/>
      <c r="L30" s="166"/>
      <c r="M30" s="166"/>
      <c r="N30" s="166"/>
      <c r="O30" s="15"/>
    </row>
    <row r="31" spans="1:16" ht="15" customHeight="1" x14ac:dyDescent="0.25">
      <c r="A31" s="165"/>
      <c r="B31" s="165"/>
      <c r="C31" s="166"/>
      <c r="D31" s="166"/>
      <c r="E31" s="166"/>
      <c r="F31" s="166"/>
      <c r="G31" s="166"/>
      <c r="H31" s="166"/>
      <c r="I31" s="166"/>
      <c r="J31" s="166"/>
      <c r="K31" s="166"/>
      <c r="L31" s="166"/>
      <c r="M31" s="166"/>
      <c r="N31" s="166"/>
    </row>
    <row r="32" spans="1:16" x14ac:dyDescent="0.25">
      <c r="A32" s="165"/>
      <c r="B32" s="165"/>
      <c r="C32" s="166"/>
      <c r="D32" s="166"/>
      <c r="E32" s="166"/>
      <c r="F32" s="166"/>
      <c r="G32" s="166"/>
      <c r="H32" s="166"/>
      <c r="I32" s="166"/>
      <c r="J32" s="166"/>
      <c r="K32" s="166"/>
      <c r="L32" s="166"/>
      <c r="M32" s="166"/>
      <c r="N32" s="166"/>
    </row>
    <row r="33" spans="3:14" x14ac:dyDescent="0.25">
      <c r="C33" s="166"/>
      <c r="D33" s="166"/>
      <c r="E33" s="166"/>
      <c r="F33" s="166"/>
      <c r="G33" s="166"/>
      <c r="H33" s="166"/>
      <c r="I33" s="166"/>
      <c r="J33" s="166"/>
      <c r="K33" s="166"/>
      <c r="L33" s="166"/>
      <c r="M33" s="166"/>
      <c r="N33" s="166"/>
    </row>
    <row r="34" spans="3:14" x14ac:dyDescent="0.25">
      <c r="C34" s="166"/>
      <c r="D34" s="166"/>
      <c r="E34" s="166"/>
      <c r="F34" s="166"/>
      <c r="G34" s="166"/>
      <c r="H34" s="166"/>
      <c r="I34" s="166"/>
      <c r="J34" s="166"/>
      <c r="K34" s="166"/>
      <c r="L34" s="166"/>
      <c r="M34" s="166"/>
      <c r="N34" s="166"/>
    </row>
    <row r="35" spans="3:14" x14ac:dyDescent="0.25">
      <c r="C35" s="166"/>
      <c r="D35" s="166"/>
      <c r="E35" s="166"/>
      <c r="F35" s="166"/>
      <c r="G35" s="166"/>
      <c r="H35" s="166"/>
      <c r="I35" s="166"/>
      <c r="J35" s="166"/>
      <c r="K35" s="166"/>
      <c r="L35" s="166"/>
      <c r="M35" s="166"/>
      <c r="N35" s="166"/>
    </row>
    <row r="36" spans="3:14" x14ac:dyDescent="0.25">
      <c r="C36" s="166"/>
      <c r="D36" s="166"/>
      <c r="E36" s="166"/>
      <c r="F36" s="166"/>
      <c r="G36" s="166"/>
      <c r="H36" s="166"/>
      <c r="I36" s="166"/>
      <c r="J36" s="166"/>
      <c r="K36" s="166"/>
      <c r="L36" s="166"/>
      <c r="M36" s="166"/>
      <c r="N36" s="166"/>
    </row>
    <row r="37" spans="3:14" x14ac:dyDescent="0.25">
      <c r="C37" s="166"/>
      <c r="D37" s="166"/>
      <c r="E37" s="166"/>
      <c r="F37" s="166"/>
      <c r="G37" s="166"/>
      <c r="H37" s="166"/>
      <c r="I37" s="166"/>
      <c r="J37" s="166"/>
      <c r="K37" s="166"/>
      <c r="L37" s="166"/>
      <c r="M37" s="166"/>
      <c r="N37" s="166"/>
    </row>
    <row r="38" spans="3:14" x14ac:dyDescent="0.25">
      <c r="C38" s="166"/>
      <c r="D38" s="166"/>
      <c r="E38" s="166"/>
      <c r="F38" s="166"/>
      <c r="G38" s="166"/>
      <c r="H38" s="166"/>
      <c r="I38" s="166"/>
      <c r="J38" s="166"/>
      <c r="K38" s="166"/>
      <c r="L38" s="166"/>
      <c r="M38" s="166"/>
      <c r="N38" s="166"/>
    </row>
    <row r="39" spans="3:14" x14ac:dyDescent="0.25">
      <c r="C39" s="166"/>
      <c r="D39" s="166"/>
      <c r="E39" s="166"/>
      <c r="F39" s="166"/>
      <c r="G39" s="166"/>
      <c r="H39" s="166"/>
      <c r="I39" s="166"/>
      <c r="J39" s="166"/>
      <c r="K39" s="166"/>
      <c r="L39" s="166"/>
      <c r="M39" s="166"/>
      <c r="N39" s="166"/>
    </row>
    <row r="40" spans="3:14" x14ac:dyDescent="0.25">
      <c r="C40" s="166"/>
      <c r="D40" s="166"/>
      <c r="E40" s="166"/>
      <c r="F40" s="166"/>
      <c r="G40" s="166"/>
      <c r="H40" s="166"/>
      <c r="I40" s="166"/>
      <c r="J40" s="166"/>
      <c r="K40" s="166"/>
      <c r="L40" s="166"/>
      <c r="M40" s="166"/>
      <c r="N40" s="166"/>
    </row>
    <row r="41" spans="3:14" x14ac:dyDescent="0.25">
      <c r="C41" s="166"/>
      <c r="D41" s="166"/>
      <c r="E41" s="166"/>
      <c r="F41" s="166"/>
      <c r="G41" s="166"/>
      <c r="H41" s="166"/>
      <c r="I41" s="166"/>
      <c r="J41" s="166"/>
      <c r="K41" s="166"/>
      <c r="L41" s="166"/>
      <c r="M41" s="166"/>
      <c r="N41" s="166"/>
    </row>
    <row r="42" spans="3:14" x14ac:dyDescent="0.25">
      <c r="C42" s="166"/>
      <c r="D42" s="166"/>
      <c r="E42" s="166"/>
      <c r="F42" s="167"/>
      <c r="G42" s="166"/>
      <c r="H42" s="166"/>
      <c r="I42" s="166"/>
      <c r="J42" s="166"/>
      <c r="K42" s="166"/>
      <c r="L42" s="166"/>
      <c r="M42" s="167"/>
      <c r="N42" s="166"/>
    </row>
    <row r="43" spans="3:14" x14ac:dyDescent="0.25">
      <c r="C43" s="166"/>
      <c r="D43" s="166"/>
      <c r="E43" s="166"/>
      <c r="F43" s="166"/>
      <c r="G43" s="166"/>
      <c r="H43" s="166"/>
      <c r="I43" s="166"/>
      <c r="J43" s="166"/>
      <c r="K43" s="166"/>
      <c r="L43" s="166"/>
      <c r="M43" s="166"/>
      <c r="N43" s="166"/>
    </row>
    <row r="44" spans="3:14" x14ac:dyDescent="0.25">
      <c r="C44" s="166"/>
      <c r="D44" s="166"/>
      <c r="E44" s="166"/>
      <c r="F44" s="166"/>
      <c r="G44" s="166"/>
      <c r="H44" s="166"/>
      <c r="I44" s="166"/>
      <c r="J44" s="166"/>
      <c r="K44" s="166"/>
      <c r="L44" s="166"/>
      <c r="M44" s="166"/>
      <c r="N44" s="166"/>
    </row>
  </sheetData>
  <mergeCells count="15">
    <mergeCell ref="A12:P13"/>
    <mergeCell ref="A6:P6"/>
    <mergeCell ref="A7:P7"/>
    <mergeCell ref="A8:P8"/>
    <mergeCell ref="A9:P9"/>
    <mergeCell ref="A10:P11"/>
    <mergeCell ref="O14:O15"/>
    <mergeCell ref="P14:P15"/>
    <mergeCell ref="A16:A17"/>
    <mergeCell ref="A14:A15"/>
    <mergeCell ref="B14:E14"/>
    <mergeCell ref="F14:F15"/>
    <mergeCell ref="G14:L14"/>
    <mergeCell ref="M14:M15"/>
    <mergeCell ref="N14:N15"/>
  </mergeCells>
  <printOptions horizontalCentered="1" verticalCentered="1"/>
  <pageMargins left="3.937007874015748E-2" right="3.937007874015748E-2" top="0.35433070866141736" bottom="0.39370078740157483" header="0.31496062992125984" footer="0.23622047244094491"/>
  <pageSetup scale="35" fitToHeight="0" orientation="landscape" r:id="rId1"/>
  <ignoredErrors>
    <ignoredError sqref="L1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46"/>
  <sheetViews>
    <sheetView showGridLines="0" view="pageBreakPreview" zoomScale="40" zoomScaleNormal="60" zoomScaleSheetLayoutView="40" workbookViewId="0">
      <selection activeCell="O21" sqref="O21"/>
    </sheetView>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c r="J4" s="170"/>
      <c r="K4" s="170"/>
      <c r="L4" s="170"/>
    </row>
    <row r="5" spans="1:12" x14ac:dyDescent="0.25">
      <c r="A5" s="4"/>
      <c r="B5" s="4"/>
      <c r="C5" s="4"/>
      <c r="D5" s="4"/>
      <c r="E5" s="4"/>
      <c r="F5" s="4"/>
      <c r="G5" s="4"/>
      <c r="H5" s="4"/>
      <c r="I5" s="4"/>
      <c r="J5" s="219"/>
      <c r="K5" s="219"/>
      <c r="L5" s="219"/>
    </row>
    <row r="6" spans="1:12" x14ac:dyDescent="0.25">
      <c r="A6" s="4"/>
      <c r="B6" s="4"/>
      <c r="C6" s="4"/>
      <c r="D6" s="4"/>
      <c r="E6" s="4"/>
      <c r="F6" s="4"/>
      <c r="G6" s="4"/>
      <c r="H6" s="4"/>
      <c r="I6" s="4"/>
      <c r="J6" s="219"/>
      <c r="K6" s="219"/>
      <c r="L6" s="219"/>
    </row>
    <row r="7" spans="1:12" ht="20.25" x14ac:dyDescent="0.25">
      <c r="A7" s="220" t="s">
        <v>3</v>
      </c>
      <c r="B7" s="220"/>
      <c r="C7" s="220"/>
      <c r="D7" s="220"/>
      <c r="E7" s="220"/>
      <c r="F7" s="220"/>
      <c r="G7" s="220"/>
      <c r="H7" s="220"/>
      <c r="I7" s="220"/>
    </row>
    <row r="8" spans="1:12" ht="20.25" x14ac:dyDescent="0.25">
      <c r="A8" s="221" t="s">
        <v>4</v>
      </c>
      <c r="B8" s="221"/>
      <c r="C8" s="221"/>
      <c r="D8" s="221"/>
      <c r="E8" s="221"/>
      <c r="F8" s="221"/>
      <c r="G8" s="221"/>
      <c r="H8" s="221"/>
      <c r="I8" s="221"/>
    </row>
    <row r="9" spans="1:12" ht="21" thickBot="1" x14ac:dyDescent="0.3">
      <c r="A9" s="222" t="str">
        <f>+IF(Presentación!B1="","-","Informe de Ejecución del "&amp;Presentación!B1&amp;" del POA 2021 del INESPRE.")</f>
        <v>Informe de Ejecución del Cuarto Trimestre del POA 2021 del INESPRE.</v>
      </c>
      <c r="B9" s="222"/>
      <c r="C9" s="222"/>
      <c r="D9" s="222"/>
      <c r="E9" s="222"/>
      <c r="F9" s="222"/>
      <c r="G9" s="222"/>
      <c r="H9" s="222"/>
      <c r="I9" s="222"/>
    </row>
    <row r="10" spans="1:12" ht="12.95" customHeight="1" thickBot="1" x14ac:dyDescent="0.3">
      <c r="A10" s="321" t="s">
        <v>5</v>
      </c>
      <c r="B10" s="322"/>
      <c r="C10" s="322"/>
      <c r="D10" s="322"/>
      <c r="E10" s="322"/>
      <c r="F10" s="322"/>
      <c r="G10" s="322"/>
      <c r="H10" s="322"/>
      <c r="I10" s="322"/>
    </row>
    <row r="11" spans="1:12" ht="12.95" customHeight="1" thickBot="1" x14ac:dyDescent="0.3">
      <c r="A11" s="323"/>
      <c r="B11" s="223"/>
      <c r="C11" s="223"/>
      <c r="D11" s="223"/>
      <c r="E11" s="223"/>
      <c r="F11" s="223"/>
      <c r="G11" s="223"/>
      <c r="H11" s="223"/>
      <c r="I11" s="223"/>
    </row>
    <row r="12" spans="1:12" ht="12.95" customHeight="1" thickBot="1" x14ac:dyDescent="0.3">
      <c r="A12" s="323"/>
      <c r="B12" s="223"/>
      <c r="C12" s="223"/>
      <c r="D12" s="223"/>
      <c r="E12" s="223"/>
      <c r="F12" s="223"/>
      <c r="G12" s="223"/>
      <c r="H12" s="223"/>
      <c r="I12" s="223"/>
    </row>
    <row r="13" spans="1:12" ht="20.100000000000001" customHeight="1" thickTop="1" thickBot="1" x14ac:dyDescent="0.3">
      <c r="A13" s="324" t="s">
        <v>6</v>
      </c>
      <c r="B13" s="224"/>
      <c r="C13" s="224"/>
      <c r="D13" s="224"/>
      <c r="E13" s="224"/>
      <c r="F13" s="224"/>
      <c r="G13" s="224"/>
      <c r="H13" s="224"/>
      <c r="I13" s="224"/>
    </row>
    <row r="14" spans="1:12" ht="20.100000000000001" customHeight="1" thickTop="1" thickBot="1" x14ac:dyDescent="0.3">
      <c r="A14" s="324"/>
      <c r="B14" s="224"/>
      <c r="C14" s="224"/>
      <c r="D14" s="224"/>
      <c r="E14" s="224"/>
      <c r="F14" s="224"/>
      <c r="G14" s="224"/>
      <c r="H14" s="224"/>
      <c r="I14" s="224"/>
    </row>
    <row r="15" spans="1:12" ht="20.100000000000001" customHeight="1" thickTop="1" thickBot="1" x14ac:dyDescent="0.3">
      <c r="A15" s="325" t="s">
        <v>7</v>
      </c>
      <c r="B15" s="201"/>
      <c r="C15" s="201"/>
      <c r="D15" s="212" t="s">
        <v>8</v>
      </c>
      <c r="E15" s="213"/>
      <c r="F15" s="214"/>
      <c r="G15" s="218" t="s">
        <v>889</v>
      </c>
      <c r="H15" s="218"/>
      <c r="I15" s="218"/>
    </row>
    <row r="16" spans="1:12" ht="16.5" thickTop="1" thickBot="1" x14ac:dyDescent="0.3">
      <c r="A16" s="325"/>
      <c r="B16" s="201"/>
      <c r="C16" s="201"/>
      <c r="D16" s="215"/>
      <c r="E16" s="216"/>
      <c r="F16" s="217"/>
      <c r="G16" s="218"/>
      <c r="H16" s="218"/>
      <c r="I16" s="218"/>
    </row>
    <row r="17" spans="1:11" ht="20.100000000000001" customHeight="1" thickTop="1" thickBot="1" x14ac:dyDescent="0.3">
      <c r="A17" s="325" t="s">
        <v>909</v>
      </c>
      <c r="B17" s="201"/>
      <c r="C17" s="201"/>
      <c r="D17" s="212" t="s">
        <v>10</v>
      </c>
      <c r="E17" s="213"/>
      <c r="F17" s="214"/>
      <c r="G17" s="210" t="s">
        <v>890</v>
      </c>
      <c r="H17" s="210"/>
      <c r="I17" s="210"/>
    </row>
    <row r="18" spans="1:11" ht="20.100000000000001" customHeight="1" thickTop="1" thickBot="1" x14ac:dyDescent="0.3">
      <c r="A18" s="325"/>
      <c r="B18" s="201"/>
      <c r="C18" s="201"/>
      <c r="D18" s="215"/>
      <c r="E18" s="216"/>
      <c r="F18" s="217"/>
      <c r="G18" s="210"/>
      <c r="H18" s="210"/>
      <c r="I18" s="210"/>
    </row>
    <row r="19" spans="1:11" ht="20.100000000000001" customHeight="1" thickTop="1" thickBot="1" x14ac:dyDescent="0.3">
      <c r="A19" s="325" t="s">
        <v>9</v>
      </c>
      <c r="B19" s="201"/>
      <c r="C19" s="201"/>
      <c r="D19" s="202" t="s">
        <v>891</v>
      </c>
      <c r="E19" s="202"/>
      <c r="F19" s="202"/>
      <c r="G19" s="210" t="s">
        <v>892</v>
      </c>
      <c r="H19" s="210"/>
      <c r="I19" s="210"/>
    </row>
    <row r="20" spans="1:11" ht="20.100000000000001" customHeight="1" thickTop="1" thickBot="1" x14ac:dyDescent="0.3">
      <c r="A20" s="325"/>
      <c r="B20" s="201"/>
      <c r="C20" s="201"/>
      <c r="D20" s="202"/>
      <c r="E20" s="202"/>
      <c r="F20" s="202"/>
      <c r="G20" s="210"/>
      <c r="H20" s="210"/>
      <c r="I20" s="210"/>
    </row>
    <row r="21" spans="1:11" ht="20.100000000000001" customHeight="1" thickTop="1" thickBot="1" x14ac:dyDescent="0.3">
      <c r="A21" s="325" t="s">
        <v>888</v>
      </c>
      <c r="B21" s="201"/>
      <c r="C21" s="201"/>
      <c r="D21" s="202" t="s">
        <v>893</v>
      </c>
      <c r="E21" s="202"/>
      <c r="F21" s="202"/>
      <c r="G21" s="211"/>
      <c r="H21" s="211"/>
      <c r="I21" s="211"/>
    </row>
    <row r="22" spans="1:11" ht="20.100000000000001" customHeight="1" thickTop="1" thickBot="1" x14ac:dyDescent="0.3">
      <c r="A22" s="325"/>
      <c r="B22" s="201"/>
      <c r="C22" s="201"/>
      <c r="D22" s="202"/>
      <c r="E22" s="202"/>
      <c r="F22" s="202"/>
      <c r="G22" s="211"/>
      <c r="H22" s="211"/>
      <c r="I22" s="211"/>
    </row>
    <row r="23" spans="1:11" ht="20.100000000000001" customHeight="1" thickTop="1" thickBot="1" x14ac:dyDescent="0.3">
      <c r="A23" s="325" t="s">
        <v>11</v>
      </c>
      <c r="B23" s="201"/>
      <c r="C23" s="201"/>
      <c r="D23" s="202" t="s">
        <v>12</v>
      </c>
      <c r="E23" s="202"/>
      <c r="F23" s="202"/>
      <c r="G23" s="203"/>
      <c r="H23" s="204"/>
      <c r="I23" s="205"/>
    </row>
    <row r="24" spans="1:11" ht="20.100000000000001" customHeight="1" thickTop="1" thickBot="1" x14ac:dyDescent="0.3">
      <c r="A24" s="325"/>
      <c r="B24" s="201"/>
      <c r="C24" s="201"/>
      <c r="D24" s="202"/>
      <c r="E24" s="202"/>
      <c r="F24" s="202"/>
      <c r="G24" s="206"/>
      <c r="H24" s="207"/>
      <c r="I24" s="208"/>
    </row>
    <row r="25" spans="1:11" ht="20.100000000000001" customHeight="1" thickTop="1" thickBot="1" x14ac:dyDescent="0.3">
      <c r="A25" s="325" t="s">
        <v>894</v>
      </c>
      <c r="B25" s="201"/>
      <c r="C25" s="201"/>
      <c r="D25" s="202" t="s">
        <v>895</v>
      </c>
      <c r="E25" s="202"/>
      <c r="F25" s="202"/>
      <c r="G25" s="202"/>
      <c r="H25" s="201"/>
      <c r="I25" s="209"/>
      <c r="K25" s="6"/>
    </row>
    <row r="26" spans="1:11" ht="20.100000000000001" customHeight="1" thickTop="1" thickBot="1" x14ac:dyDescent="0.3">
      <c r="A26" s="325"/>
      <c r="B26" s="201"/>
      <c r="C26" s="201"/>
      <c r="D26" s="202"/>
      <c r="E26" s="202"/>
      <c r="F26" s="202"/>
      <c r="G26" s="202"/>
      <c r="H26" s="201"/>
      <c r="I26" s="209"/>
    </row>
    <row r="27" spans="1:11" ht="20.100000000000001" customHeight="1" thickTop="1" thickBot="1" x14ac:dyDescent="0.3">
      <c r="A27" s="326" t="s">
        <v>896</v>
      </c>
      <c r="B27" s="197"/>
      <c r="C27" s="197"/>
      <c r="D27" s="198" t="s">
        <v>897</v>
      </c>
      <c r="E27" s="198"/>
      <c r="F27" s="198"/>
      <c r="G27" s="199"/>
      <c r="H27" s="199"/>
      <c r="I27" s="199"/>
    </row>
    <row r="28" spans="1:11" ht="20.100000000000001" customHeight="1" thickTop="1" x14ac:dyDescent="0.25">
      <c r="A28" s="326"/>
      <c r="B28" s="197"/>
      <c r="C28" s="197"/>
      <c r="D28" s="198"/>
      <c r="E28" s="198"/>
      <c r="F28" s="198"/>
      <c r="G28" s="199"/>
      <c r="H28" s="199"/>
      <c r="I28" s="199"/>
    </row>
    <row r="29" spans="1:11" ht="18" customHeight="1" x14ac:dyDescent="0.25">
      <c r="A29" s="327" t="s">
        <v>13</v>
      </c>
      <c r="B29" s="200"/>
      <c r="C29" s="200"/>
      <c r="D29" s="200"/>
      <c r="E29" s="200"/>
      <c r="F29" s="200"/>
      <c r="G29" s="200"/>
      <c r="H29" s="200"/>
      <c r="I29" s="200"/>
    </row>
    <row r="30" spans="1:11" ht="18" customHeight="1" thickBot="1" x14ac:dyDescent="0.3">
      <c r="A30" s="327"/>
      <c r="B30" s="200"/>
      <c r="C30" s="200"/>
      <c r="D30" s="200"/>
      <c r="E30" s="200"/>
      <c r="F30" s="200"/>
      <c r="G30" s="200"/>
      <c r="H30" s="200"/>
      <c r="I30" s="200"/>
    </row>
    <row r="31" spans="1:11" ht="15" customHeight="1" thickBot="1" x14ac:dyDescent="0.3">
      <c r="A31" s="328" t="s">
        <v>898</v>
      </c>
      <c r="B31" s="176"/>
      <c r="C31" s="176"/>
      <c r="D31" s="187"/>
      <c r="E31" s="7"/>
      <c r="F31" s="175" t="s">
        <v>14</v>
      </c>
      <c r="G31" s="176"/>
      <c r="H31" s="176"/>
      <c r="I31" s="177"/>
    </row>
    <row r="32" spans="1:11" ht="15" customHeight="1" thickBot="1" x14ac:dyDescent="0.3">
      <c r="A32" s="329"/>
      <c r="B32" s="179"/>
      <c r="C32" s="179"/>
      <c r="D32" s="188"/>
      <c r="E32" s="7"/>
      <c r="F32" s="178"/>
      <c r="G32" s="179"/>
      <c r="H32" s="179"/>
      <c r="I32" s="180"/>
    </row>
    <row r="33" spans="1:15" ht="15" customHeight="1" thickBot="1" x14ac:dyDescent="0.3">
      <c r="A33" s="329"/>
      <c r="B33" s="179"/>
      <c r="C33" s="179"/>
      <c r="D33" s="188"/>
      <c r="E33" s="7"/>
      <c r="F33" s="178"/>
      <c r="G33" s="179"/>
      <c r="H33" s="179"/>
      <c r="I33" s="180"/>
    </row>
    <row r="34" spans="1:15" ht="15" customHeight="1" thickBot="1" x14ac:dyDescent="0.3">
      <c r="A34" s="329"/>
      <c r="B34" s="179"/>
      <c r="C34" s="179"/>
      <c r="D34" s="188"/>
      <c r="E34" s="7"/>
      <c r="F34" s="178"/>
      <c r="G34" s="179"/>
      <c r="H34" s="179"/>
      <c r="I34" s="180"/>
      <c r="L34"/>
      <c r="M34"/>
      <c r="N34"/>
      <c r="O34"/>
    </row>
    <row r="35" spans="1:15" ht="15" customHeight="1" thickBot="1" x14ac:dyDescent="0.3">
      <c r="A35" s="329"/>
      <c r="B35" s="179"/>
      <c r="C35" s="179"/>
      <c r="D35" s="188"/>
      <c r="E35" s="7"/>
      <c r="F35" s="178" t="s">
        <v>912</v>
      </c>
      <c r="G35" s="179"/>
      <c r="H35" s="179"/>
      <c r="I35" s="180"/>
      <c r="L35"/>
      <c r="M35"/>
      <c r="N35"/>
      <c r="O35"/>
    </row>
    <row r="36" spans="1:15" ht="15" customHeight="1" thickBot="1" x14ac:dyDescent="0.3">
      <c r="A36" s="330"/>
      <c r="B36" s="189"/>
      <c r="C36" s="189"/>
      <c r="D36" s="190"/>
      <c r="E36" s="7"/>
      <c r="F36" s="178"/>
      <c r="G36" s="179"/>
      <c r="H36" s="179"/>
      <c r="I36" s="180"/>
      <c r="L36"/>
      <c r="M36"/>
      <c r="N36"/>
      <c r="O36"/>
    </row>
    <row r="37" spans="1:15" ht="15" customHeight="1" thickBot="1" x14ac:dyDescent="0.3">
      <c r="A37" s="331" t="s">
        <v>906</v>
      </c>
      <c r="B37" s="191"/>
      <c r="C37" s="191"/>
      <c r="D37" s="192"/>
      <c r="E37" s="7"/>
      <c r="F37" s="178"/>
      <c r="G37" s="179"/>
      <c r="H37" s="179"/>
      <c r="I37" s="180"/>
      <c r="L37"/>
      <c r="M37"/>
      <c r="N37"/>
      <c r="O37"/>
    </row>
    <row r="38" spans="1:15" ht="15" customHeight="1" thickBot="1" x14ac:dyDescent="0.3">
      <c r="A38" s="332"/>
      <c r="B38" s="193"/>
      <c r="C38" s="193"/>
      <c r="D38" s="194"/>
      <c r="E38" s="7"/>
      <c r="F38" s="178"/>
      <c r="G38" s="179"/>
      <c r="H38" s="179"/>
      <c r="I38" s="180"/>
      <c r="L38"/>
      <c r="M38"/>
      <c r="N38"/>
      <c r="O38"/>
    </row>
    <row r="39" spans="1:15" ht="15" customHeight="1" thickBot="1" x14ac:dyDescent="0.3">
      <c r="A39" s="332"/>
      <c r="B39" s="193"/>
      <c r="C39" s="193"/>
      <c r="D39" s="194"/>
      <c r="E39" s="7"/>
      <c r="F39" s="178" t="s">
        <v>913</v>
      </c>
      <c r="G39" s="179"/>
      <c r="H39" s="179"/>
      <c r="I39" s="180"/>
      <c r="L39"/>
      <c r="M39"/>
      <c r="N39"/>
      <c r="O39"/>
    </row>
    <row r="40" spans="1:15" ht="15" customHeight="1" thickBot="1" x14ac:dyDescent="0.3">
      <c r="A40" s="332"/>
      <c r="B40" s="193"/>
      <c r="C40" s="193"/>
      <c r="D40" s="194"/>
      <c r="E40" s="7"/>
      <c r="F40" s="178"/>
      <c r="G40" s="179"/>
      <c r="H40" s="179"/>
      <c r="I40" s="180"/>
      <c r="L40"/>
      <c r="M40"/>
      <c r="N40"/>
      <c r="O40"/>
    </row>
    <row r="41" spans="1:15" ht="15" customHeight="1" thickBot="1" x14ac:dyDescent="0.3">
      <c r="A41" s="332"/>
      <c r="B41" s="193"/>
      <c r="C41" s="193"/>
      <c r="D41" s="194"/>
      <c r="E41" s="7"/>
      <c r="F41" s="178"/>
      <c r="G41" s="179"/>
      <c r="H41" s="179"/>
      <c r="I41" s="180"/>
      <c r="L41"/>
      <c r="M41"/>
      <c r="N41"/>
      <c r="O41"/>
    </row>
    <row r="42" spans="1:15" ht="15.75" customHeight="1" thickBot="1" x14ac:dyDescent="0.3">
      <c r="A42" s="333"/>
      <c r="B42" s="195"/>
      <c r="C42" s="195"/>
      <c r="D42" s="196"/>
      <c r="E42" s="8"/>
      <c r="F42" s="181"/>
      <c r="G42" s="182"/>
      <c r="H42" s="182"/>
      <c r="I42" s="183"/>
      <c r="L42"/>
      <c r="M42"/>
      <c r="N42"/>
      <c r="O42"/>
    </row>
    <row r="43" spans="1:15" ht="21.75" customHeight="1" thickBot="1" x14ac:dyDescent="0.3">
      <c r="A43" s="334" t="s">
        <v>15</v>
      </c>
      <c r="B43" s="184"/>
      <c r="C43" s="184"/>
      <c r="D43" s="184"/>
      <c r="E43" s="184"/>
      <c r="F43" s="184"/>
      <c r="G43" s="184"/>
      <c r="H43" s="184"/>
      <c r="I43" s="184"/>
    </row>
    <row r="44" spans="1:15" ht="155.1" customHeight="1" thickBot="1" x14ac:dyDescent="0.3">
      <c r="A44" s="335" t="s">
        <v>910</v>
      </c>
      <c r="B44" s="185"/>
      <c r="C44" s="185"/>
      <c r="D44" s="185"/>
      <c r="E44" s="186" t="s">
        <v>911</v>
      </c>
      <c r="F44" s="186"/>
      <c r="G44" s="186"/>
      <c r="H44" s="186"/>
      <c r="I44" s="186"/>
    </row>
    <row r="45" spans="1:15" ht="155.1" customHeight="1" thickBot="1" x14ac:dyDescent="0.3">
      <c r="A45" s="335" t="s">
        <v>16</v>
      </c>
      <c r="B45" s="185"/>
      <c r="C45" s="185"/>
      <c r="D45" s="185"/>
      <c r="E45" s="186"/>
      <c r="F45" s="186"/>
      <c r="G45" s="186"/>
      <c r="H45" s="186"/>
      <c r="I45" s="186"/>
    </row>
    <row r="46" spans="1:15" ht="155.1" customHeight="1" thickBot="1" x14ac:dyDescent="0.3">
      <c r="A46" s="335" t="s">
        <v>17</v>
      </c>
      <c r="B46" s="185"/>
      <c r="C46" s="185"/>
      <c r="D46" s="185"/>
      <c r="E46" s="186"/>
      <c r="F46" s="186"/>
      <c r="G46" s="186"/>
      <c r="H46" s="186"/>
      <c r="I46" s="186"/>
    </row>
  </sheetData>
  <sheetProtection selectLockedCells="1" selectUnlockedCells="1"/>
  <mergeCells count="38">
    <mergeCell ref="A13:I14"/>
    <mergeCell ref="J5:L6"/>
    <mergeCell ref="A7:I7"/>
    <mergeCell ref="A8:I8"/>
    <mergeCell ref="A9:I9"/>
    <mergeCell ref="A10:I12"/>
    <mergeCell ref="A15:C16"/>
    <mergeCell ref="D15:F16"/>
    <mergeCell ref="G15:I16"/>
    <mergeCell ref="A17:C18"/>
    <mergeCell ref="D17:F18"/>
    <mergeCell ref="G17:I18"/>
    <mergeCell ref="A19:C20"/>
    <mergeCell ref="D19:F20"/>
    <mergeCell ref="G19:I20"/>
    <mergeCell ref="A21:C22"/>
    <mergeCell ref="D21:F22"/>
    <mergeCell ref="G21:I22"/>
    <mergeCell ref="A27:C28"/>
    <mergeCell ref="D27:F28"/>
    <mergeCell ref="G27:I28"/>
    <mergeCell ref="A29:I30"/>
    <mergeCell ref="A23:C24"/>
    <mergeCell ref="D23:F24"/>
    <mergeCell ref="G23:I24"/>
    <mergeCell ref="A25:C26"/>
    <mergeCell ref="D25:F26"/>
    <mergeCell ref="G25:I26"/>
    <mergeCell ref="F31:I34"/>
    <mergeCell ref="F35:I38"/>
    <mergeCell ref="F39:I42"/>
    <mergeCell ref="A43:I43"/>
    <mergeCell ref="A44:D44"/>
    <mergeCell ref="E44:I46"/>
    <mergeCell ref="A45:D45"/>
    <mergeCell ref="A46:D46"/>
    <mergeCell ref="A31:D36"/>
    <mergeCell ref="A37:D42"/>
  </mergeCells>
  <pageMargins left="0.7" right="0.7" top="0.75" bottom="0.75" header="0.51180555555555551" footer="0.51180555555555551"/>
  <pageSetup scale="48" firstPageNumber="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R32"/>
  <sheetViews>
    <sheetView showGridLines="0" zoomScale="40" zoomScaleNormal="40" zoomScaleSheetLayoutView="20" workbookViewId="0"/>
  </sheetViews>
  <sheetFormatPr baseColWidth="10" defaultColWidth="11.42578125" defaultRowHeight="15" x14ac:dyDescent="0.25"/>
  <cols>
    <col min="1" max="1" width="36.85546875" style="28" customWidth="1"/>
    <col min="2" max="2" width="25.7109375" style="28" customWidth="1"/>
    <col min="3" max="5" width="20.7109375" style="28" customWidth="1"/>
    <col min="6" max="6" width="37.85546875" style="28" customWidth="1"/>
    <col min="7" max="8" width="15.7109375" style="28" customWidth="1"/>
    <col min="9" max="9" width="17.140625" style="28" customWidth="1"/>
    <col min="10" max="11" width="15.7109375" style="28" customWidth="1"/>
    <col min="12" max="12" width="16.28515625" style="28" customWidth="1"/>
    <col min="13" max="13" width="22.28515625" style="28" customWidth="1"/>
    <col min="14" max="14" width="19.85546875" style="28" customWidth="1"/>
    <col min="15" max="15" width="34.42578125" style="28" customWidth="1"/>
    <col min="16" max="16" width="31.28515625" style="28" customWidth="1"/>
    <col min="17" max="16384" width="11.42578125" style="28"/>
  </cols>
  <sheetData>
    <row r="1" spans="1:18" ht="99.95" customHeight="1" x14ac:dyDescent="0.25"/>
    <row r="2" spans="1:18" ht="44.1" customHeight="1" x14ac:dyDescent="0.25">
      <c r="A2" s="9"/>
      <c r="B2" s="9"/>
      <c r="C2" s="9"/>
      <c r="D2" s="9"/>
      <c r="E2" s="9"/>
      <c r="F2" s="9"/>
      <c r="G2" s="9"/>
      <c r="H2" s="9"/>
      <c r="I2" s="9"/>
      <c r="J2" s="9"/>
      <c r="K2" s="9"/>
      <c r="L2" s="9"/>
      <c r="M2" s="9"/>
      <c r="N2" s="9"/>
      <c r="O2" s="9"/>
      <c r="P2" s="9"/>
    </row>
    <row r="3" spans="1:18" ht="44.1" customHeight="1" x14ac:dyDescent="0.25">
      <c r="A3" s="9"/>
      <c r="B3" s="9"/>
      <c r="C3" s="9"/>
      <c r="D3" s="9"/>
      <c r="E3" s="9"/>
      <c r="F3" s="9"/>
      <c r="G3" s="9"/>
      <c r="H3" s="9"/>
      <c r="I3" s="9"/>
      <c r="J3" s="9"/>
      <c r="K3" s="9"/>
      <c r="L3" s="9"/>
      <c r="M3" s="9"/>
      <c r="N3" s="9"/>
      <c r="O3" s="9"/>
      <c r="P3" s="9"/>
    </row>
    <row r="4" spans="1:18" ht="44.1" customHeight="1" x14ac:dyDescent="0.25">
      <c r="A4" s="9"/>
      <c r="B4" s="9"/>
      <c r="C4" s="9"/>
      <c r="D4" s="9"/>
      <c r="E4" s="9"/>
      <c r="F4" s="9"/>
      <c r="G4" s="9"/>
      <c r="H4" s="9"/>
      <c r="I4" s="9"/>
      <c r="J4" s="9"/>
      <c r="K4" s="9"/>
      <c r="L4" s="9"/>
      <c r="M4" s="9"/>
      <c r="N4" s="9"/>
      <c r="O4" s="9"/>
      <c r="P4" s="9"/>
    </row>
    <row r="5" spans="1:18" ht="44.1" customHeight="1" thickBot="1" x14ac:dyDescent="0.3">
      <c r="A5" s="9"/>
      <c r="B5" s="9"/>
      <c r="C5" s="9"/>
      <c r="D5" s="9"/>
      <c r="E5" s="9"/>
      <c r="F5" s="9"/>
      <c r="G5" s="9"/>
      <c r="H5" s="9"/>
      <c r="I5" s="9"/>
      <c r="J5" s="9"/>
      <c r="K5" s="9"/>
      <c r="L5" s="9"/>
      <c r="M5" s="9"/>
      <c r="N5" s="9"/>
      <c r="O5" s="9"/>
      <c r="P5" s="9"/>
    </row>
    <row r="6" spans="1:18" s="11" customFormat="1" ht="44.1" customHeight="1" thickBot="1" x14ac:dyDescent="0.3">
      <c r="A6" s="237" t="s">
        <v>18</v>
      </c>
      <c r="B6" s="238"/>
      <c r="C6" s="238"/>
      <c r="D6" s="238"/>
      <c r="E6" s="238"/>
      <c r="F6" s="238"/>
      <c r="G6" s="238"/>
      <c r="H6" s="238"/>
      <c r="I6" s="238"/>
      <c r="J6" s="238"/>
      <c r="K6" s="238"/>
      <c r="L6" s="238"/>
      <c r="M6" s="238"/>
      <c r="N6" s="238"/>
      <c r="O6" s="238"/>
      <c r="P6" s="239"/>
    </row>
    <row r="7" spans="1:18" s="11" customFormat="1" ht="99.95" customHeight="1" thickBot="1" x14ac:dyDescent="0.3">
      <c r="A7" s="234" t="s">
        <v>85</v>
      </c>
      <c r="B7" s="235"/>
      <c r="C7" s="235"/>
      <c r="D7" s="235"/>
      <c r="E7" s="235"/>
      <c r="F7" s="235"/>
      <c r="G7" s="235"/>
      <c r="H7" s="235"/>
      <c r="I7" s="235"/>
      <c r="J7" s="235"/>
      <c r="K7" s="235"/>
      <c r="L7" s="235"/>
      <c r="M7" s="235"/>
      <c r="N7" s="235"/>
      <c r="O7" s="235"/>
      <c r="P7" s="236"/>
    </row>
    <row r="8" spans="1:18"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8" s="29" customFormat="1" ht="23.25" customHeight="1" x14ac:dyDescent="0.25">
      <c r="A9" s="243" t="s">
        <v>86</v>
      </c>
      <c r="B9" s="244"/>
      <c r="C9" s="244"/>
      <c r="D9" s="244"/>
      <c r="E9" s="244"/>
      <c r="F9" s="244"/>
      <c r="G9" s="244"/>
      <c r="H9" s="244"/>
      <c r="I9" s="244"/>
      <c r="J9" s="244"/>
      <c r="K9" s="244"/>
      <c r="L9" s="244"/>
      <c r="M9" s="244"/>
      <c r="N9" s="244"/>
      <c r="O9" s="244"/>
      <c r="P9" s="245"/>
    </row>
    <row r="10" spans="1:18" s="29"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8" s="29" customFormat="1" ht="20.100000000000001" customHeight="1" x14ac:dyDescent="0.25">
      <c r="A11" s="247"/>
      <c r="B11" s="248"/>
      <c r="C11" s="248"/>
      <c r="D11" s="248"/>
      <c r="E11" s="248"/>
      <c r="F11" s="248"/>
      <c r="G11" s="248"/>
      <c r="H11" s="248"/>
      <c r="I11" s="248"/>
      <c r="J11" s="248"/>
      <c r="K11" s="248"/>
      <c r="L11" s="248"/>
      <c r="M11" s="248"/>
      <c r="N11" s="248"/>
      <c r="O11" s="248"/>
      <c r="P11" s="249"/>
    </row>
    <row r="12" spans="1:18" s="29" customFormat="1" ht="14.45" customHeight="1" x14ac:dyDescent="0.25">
      <c r="A12" s="230" t="s">
        <v>88</v>
      </c>
      <c r="B12" s="230"/>
      <c r="C12" s="230"/>
      <c r="D12" s="230"/>
      <c r="E12" s="230"/>
      <c r="F12" s="230"/>
      <c r="G12" s="230"/>
      <c r="H12" s="230"/>
      <c r="I12" s="230"/>
      <c r="J12" s="230"/>
      <c r="K12" s="230"/>
      <c r="L12" s="230"/>
      <c r="M12" s="230"/>
      <c r="N12" s="230"/>
      <c r="O12" s="230"/>
      <c r="P12" s="231"/>
    </row>
    <row r="13" spans="1:18" s="29" customFormat="1" ht="15" customHeight="1" thickBot="1" x14ac:dyDescent="0.3">
      <c r="A13" s="232"/>
      <c r="B13" s="232"/>
      <c r="C13" s="232"/>
      <c r="D13" s="232"/>
      <c r="E13" s="232"/>
      <c r="F13" s="232"/>
      <c r="G13" s="232"/>
      <c r="H13" s="232"/>
      <c r="I13" s="232"/>
      <c r="J13" s="232"/>
      <c r="K13" s="232"/>
      <c r="L13" s="232"/>
      <c r="M13" s="232"/>
      <c r="N13" s="232"/>
      <c r="O13" s="232"/>
      <c r="P13" s="233"/>
    </row>
    <row r="14" spans="1:18"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8" s="29"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8" ht="113.25" customHeight="1" thickBot="1" x14ac:dyDescent="0.3">
      <c r="A16" s="240" t="s">
        <v>102</v>
      </c>
      <c r="B16" s="30" t="s">
        <v>103</v>
      </c>
      <c r="C16" s="30" t="s">
        <v>104</v>
      </c>
      <c r="D16" s="31">
        <v>15000</v>
      </c>
      <c r="E16" s="32" t="s">
        <v>37</v>
      </c>
      <c r="F16" s="33" t="s">
        <v>120</v>
      </c>
      <c r="G16" s="153">
        <v>1521</v>
      </c>
      <c r="H16" s="153">
        <v>1505</v>
      </c>
      <c r="I16" s="153">
        <v>1457</v>
      </c>
      <c r="J16" s="154">
        <f>+SUM(G16:I16)</f>
        <v>4483</v>
      </c>
      <c r="K16" s="34">
        <f>+IFERROR(J16/D16,"-")</f>
        <v>0.29886666666666667</v>
      </c>
      <c r="L16" s="34">
        <f>+K16+75.1733333333334%</f>
        <v>1.0506000000000006</v>
      </c>
      <c r="M16" s="240" t="s">
        <v>111</v>
      </c>
      <c r="N16" s="30" t="s">
        <v>112</v>
      </c>
      <c r="O16" s="33" t="s">
        <v>113</v>
      </c>
      <c r="P16" s="30"/>
      <c r="R16" s="157"/>
    </row>
    <row r="17" spans="1:18" ht="117" customHeight="1" thickBot="1" x14ac:dyDescent="0.3">
      <c r="A17" s="240"/>
      <c r="B17" s="30" t="s">
        <v>105</v>
      </c>
      <c r="C17" s="30" t="s">
        <v>104</v>
      </c>
      <c r="D17" s="35">
        <v>2760</v>
      </c>
      <c r="E17" s="36" t="s">
        <v>37</v>
      </c>
      <c r="F17" s="33" t="s">
        <v>106</v>
      </c>
      <c r="G17" s="153">
        <v>532</v>
      </c>
      <c r="H17" s="153">
        <v>510</v>
      </c>
      <c r="I17" s="153">
        <v>335</v>
      </c>
      <c r="J17" s="154">
        <f t="shared" ref="J17:J20" si="0">+SUM(G17:I17)</f>
        <v>1377</v>
      </c>
      <c r="K17" s="34">
        <f t="shared" ref="K17:K20" si="1">+IFERROR(J17/D17,"-")</f>
        <v>0.49891304347826088</v>
      </c>
      <c r="L17" s="34">
        <f>+K17+165.289855072464%</f>
        <v>2.151811594202901</v>
      </c>
      <c r="M17" s="240"/>
      <c r="N17" s="240" t="s">
        <v>114</v>
      </c>
      <c r="O17" s="33" t="s">
        <v>115</v>
      </c>
      <c r="P17" s="30"/>
      <c r="R17" s="157"/>
    </row>
    <row r="18" spans="1:18" ht="122.25" customHeight="1" thickBot="1" x14ac:dyDescent="0.3">
      <c r="A18" s="240"/>
      <c r="B18" s="30" t="s">
        <v>107</v>
      </c>
      <c r="C18" s="30" t="s">
        <v>104</v>
      </c>
      <c r="D18" s="37">
        <v>31</v>
      </c>
      <c r="E18" s="36" t="s">
        <v>37</v>
      </c>
      <c r="F18" s="33" t="s">
        <v>121</v>
      </c>
      <c r="G18" s="153">
        <v>10</v>
      </c>
      <c r="H18" s="153">
        <v>4</v>
      </c>
      <c r="I18" s="153">
        <v>4</v>
      </c>
      <c r="J18" s="154">
        <f t="shared" si="0"/>
        <v>18</v>
      </c>
      <c r="K18" s="34">
        <f t="shared" si="1"/>
        <v>0.58064516129032262</v>
      </c>
      <c r="L18" s="34">
        <f>+K18+290.322580645161%</f>
        <v>3.4838709677419324</v>
      </c>
      <c r="M18" s="240"/>
      <c r="N18" s="240"/>
      <c r="O18" s="33" t="s">
        <v>116</v>
      </c>
      <c r="P18" s="30"/>
      <c r="R18" s="157"/>
    </row>
    <row r="19" spans="1:18" ht="120" customHeight="1" thickBot="1" x14ac:dyDescent="0.3">
      <c r="A19" s="240"/>
      <c r="B19" s="30" t="s">
        <v>108</v>
      </c>
      <c r="C19" s="30" t="s">
        <v>109</v>
      </c>
      <c r="D19" s="38">
        <v>17</v>
      </c>
      <c r="E19" s="36" t="s">
        <v>37</v>
      </c>
      <c r="F19" s="33" t="s">
        <v>122</v>
      </c>
      <c r="G19" s="153">
        <v>13</v>
      </c>
      <c r="H19" s="153">
        <v>10</v>
      </c>
      <c r="I19" s="153">
        <v>10</v>
      </c>
      <c r="J19" s="154">
        <f t="shared" si="0"/>
        <v>33</v>
      </c>
      <c r="K19" s="34">
        <f t="shared" si="1"/>
        <v>1.9411764705882353</v>
      </c>
      <c r="L19" s="34">
        <f>+K19+511.764705882353%</f>
        <v>7.0588235294117654</v>
      </c>
      <c r="M19" s="240"/>
      <c r="N19" s="30" t="s">
        <v>117</v>
      </c>
      <c r="O19" s="33" t="s">
        <v>118</v>
      </c>
      <c r="P19" s="30"/>
      <c r="R19" s="157"/>
    </row>
    <row r="20" spans="1:18" ht="132.75" customHeight="1" thickBot="1" x14ac:dyDescent="0.3">
      <c r="A20" s="240"/>
      <c r="B20" s="39" t="s">
        <v>110</v>
      </c>
      <c r="C20" s="39" t="s">
        <v>104</v>
      </c>
      <c r="D20" s="37">
        <v>508</v>
      </c>
      <c r="E20" s="36" t="s">
        <v>37</v>
      </c>
      <c r="F20" s="33" t="s">
        <v>123</v>
      </c>
      <c r="G20" s="153">
        <v>124</v>
      </c>
      <c r="H20" s="153">
        <v>87</v>
      </c>
      <c r="I20" s="153">
        <v>76</v>
      </c>
      <c r="J20" s="154">
        <f t="shared" si="0"/>
        <v>287</v>
      </c>
      <c r="K20" s="34">
        <f t="shared" si="1"/>
        <v>0.56496062992125984</v>
      </c>
      <c r="L20" s="34">
        <f>+K20+120.07874015748%</f>
        <v>1.7657480314960599</v>
      </c>
      <c r="M20" s="240"/>
      <c r="N20" s="43" t="s">
        <v>112</v>
      </c>
      <c r="O20" s="33" t="s">
        <v>119</v>
      </c>
      <c r="P20" s="44"/>
      <c r="R20" s="157"/>
    </row>
    <row r="21" spans="1:18" x14ac:dyDescent="0.25">
      <c r="A21" s="40"/>
      <c r="B21" s="40"/>
      <c r="C21" s="40"/>
      <c r="D21" s="40"/>
      <c r="E21" s="40"/>
      <c r="F21" s="41"/>
      <c r="G21" s="40"/>
      <c r="H21" s="40"/>
      <c r="I21" s="40"/>
      <c r="J21" s="40"/>
      <c r="K21" s="40"/>
      <c r="L21" s="40"/>
      <c r="M21" s="41"/>
      <c r="N21" s="41"/>
      <c r="O21" s="41"/>
    </row>
    <row r="22" spans="1:18" x14ac:dyDescent="0.25">
      <c r="A22" s="40"/>
      <c r="B22" s="40"/>
      <c r="C22" s="40"/>
      <c r="D22" s="40"/>
      <c r="E22" s="40"/>
      <c r="F22" s="41"/>
      <c r="G22" s="40"/>
      <c r="H22" s="40"/>
      <c r="I22" s="40"/>
      <c r="J22" s="40"/>
      <c r="K22" s="40"/>
      <c r="L22" s="40"/>
      <c r="M22" s="41"/>
      <c r="N22" s="41"/>
      <c r="O22" s="41"/>
    </row>
    <row r="23" spans="1:18" x14ac:dyDescent="0.25">
      <c r="A23" s="40"/>
      <c r="B23" s="40"/>
      <c r="C23" s="40"/>
      <c r="D23" s="40"/>
      <c r="E23" s="40"/>
      <c r="F23" s="41"/>
      <c r="G23" s="40"/>
      <c r="H23" s="40"/>
      <c r="I23" s="40"/>
      <c r="J23" s="40"/>
      <c r="K23" s="40"/>
      <c r="L23" s="40"/>
      <c r="M23" s="41"/>
      <c r="N23" s="41"/>
      <c r="O23" s="41"/>
    </row>
    <row r="24" spans="1:18" x14ac:dyDescent="0.25">
      <c r="A24" s="40"/>
      <c r="B24" s="40"/>
      <c r="C24" s="40"/>
      <c r="D24" s="40"/>
      <c r="E24" s="40"/>
      <c r="F24" s="41"/>
      <c r="G24" s="40"/>
      <c r="H24" s="40"/>
      <c r="I24" s="40"/>
      <c r="J24" s="40"/>
      <c r="K24" s="40"/>
      <c r="L24" s="40"/>
      <c r="M24" s="41"/>
      <c r="N24" s="41"/>
      <c r="O24" s="41"/>
    </row>
    <row r="25" spans="1:18" x14ac:dyDescent="0.25">
      <c r="A25" s="41"/>
      <c r="B25" s="41"/>
      <c r="C25" s="41"/>
      <c r="D25" s="41"/>
      <c r="E25" s="41"/>
      <c r="F25" s="41"/>
      <c r="G25" s="41"/>
      <c r="H25" s="41"/>
      <c r="I25" s="41"/>
      <c r="J25" s="41"/>
      <c r="K25" s="41"/>
      <c r="L25" s="41"/>
      <c r="M25" s="41"/>
      <c r="N25" s="41"/>
      <c r="O25" s="41"/>
    </row>
    <row r="26" spans="1:18" x14ac:dyDescent="0.25">
      <c r="A26" s="41"/>
      <c r="B26" s="41"/>
      <c r="C26" s="41"/>
      <c r="D26" s="41"/>
      <c r="E26" s="41"/>
      <c r="F26" s="41"/>
      <c r="G26" s="41"/>
      <c r="H26" s="41"/>
      <c r="I26" s="41"/>
      <c r="J26" s="41"/>
      <c r="K26" s="41"/>
      <c r="L26" s="41"/>
      <c r="M26" s="41"/>
      <c r="N26" s="41"/>
      <c r="O26" s="41"/>
    </row>
    <row r="27" spans="1:18" x14ac:dyDescent="0.25">
      <c r="A27" s="41"/>
      <c r="B27" s="41"/>
      <c r="C27" s="41"/>
      <c r="D27" s="41"/>
      <c r="E27" s="41"/>
      <c r="F27" s="41"/>
      <c r="G27" s="41"/>
      <c r="H27" s="41"/>
      <c r="I27" s="41"/>
      <c r="J27" s="41"/>
      <c r="K27" s="41"/>
      <c r="L27" s="41"/>
      <c r="M27" s="41"/>
      <c r="N27" s="41"/>
      <c r="O27" s="41"/>
    </row>
    <row r="28" spans="1:18" x14ac:dyDescent="0.25">
      <c r="A28" s="41"/>
      <c r="B28" s="41"/>
      <c r="C28" s="41"/>
      <c r="D28" s="41"/>
      <c r="E28" s="41"/>
      <c r="F28" s="41"/>
      <c r="G28" s="41"/>
      <c r="H28" s="41"/>
      <c r="I28" s="41"/>
      <c r="J28" s="41"/>
      <c r="K28" s="41"/>
      <c r="L28" s="41"/>
      <c r="M28" s="41"/>
      <c r="N28" s="41"/>
      <c r="O28" s="41"/>
    </row>
    <row r="29" spans="1:18" x14ac:dyDescent="0.25">
      <c r="A29" s="41"/>
      <c r="B29" s="41"/>
      <c r="C29" s="41"/>
      <c r="D29" s="41"/>
      <c r="E29" s="41"/>
      <c r="F29" s="41"/>
      <c r="G29" s="41"/>
      <c r="H29" s="41"/>
      <c r="I29" s="41"/>
      <c r="J29" s="41"/>
      <c r="K29" s="41"/>
      <c r="L29" s="41"/>
      <c r="M29" s="41"/>
      <c r="N29" s="41"/>
      <c r="O29" s="41"/>
    </row>
    <row r="30" spans="1:18" x14ac:dyDescent="0.25">
      <c r="A30" s="41"/>
      <c r="B30" s="41"/>
      <c r="C30" s="41"/>
      <c r="D30" s="41"/>
      <c r="E30" s="41"/>
      <c r="F30" s="41"/>
      <c r="G30" s="41"/>
      <c r="H30" s="41"/>
      <c r="I30" s="41"/>
      <c r="J30" s="41"/>
      <c r="K30" s="41"/>
      <c r="L30" s="41"/>
      <c r="M30" s="41"/>
      <c r="N30" s="41"/>
      <c r="O30" s="41"/>
    </row>
    <row r="31" spans="1:18" ht="15" customHeight="1" x14ac:dyDescent="0.25">
      <c r="A31" s="225"/>
      <c r="B31" s="225"/>
      <c r="C31" s="225"/>
      <c r="D31" s="225"/>
      <c r="E31" s="225"/>
      <c r="F31" s="225"/>
      <c r="G31" s="225"/>
      <c r="H31" s="225"/>
      <c r="I31" s="225"/>
      <c r="J31" s="225"/>
      <c r="K31" s="42"/>
      <c r="L31" s="42"/>
    </row>
    <row r="32" spans="1:18" x14ac:dyDescent="0.25">
      <c r="A32" s="225"/>
      <c r="B32" s="225"/>
      <c r="C32" s="225"/>
      <c r="D32" s="225"/>
      <c r="E32" s="225"/>
      <c r="F32" s="225"/>
      <c r="G32" s="225"/>
      <c r="H32" s="225"/>
      <c r="I32" s="225"/>
      <c r="J32" s="225"/>
      <c r="K32" s="42"/>
      <c r="L32" s="42"/>
    </row>
  </sheetData>
  <mergeCells count="18">
    <mergeCell ref="A12:P13"/>
    <mergeCell ref="A7:P7"/>
    <mergeCell ref="A6:P6"/>
    <mergeCell ref="A16:A20"/>
    <mergeCell ref="M16:M20"/>
    <mergeCell ref="N17:N18"/>
    <mergeCell ref="A8:P8"/>
    <mergeCell ref="A9:P9"/>
    <mergeCell ref="A10:P11"/>
    <mergeCell ref="A31:J32"/>
    <mergeCell ref="M14:M15"/>
    <mergeCell ref="N14:N15"/>
    <mergeCell ref="O14:O15"/>
    <mergeCell ref="P14:P15"/>
    <mergeCell ref="A14:A15"/>
    <mergeCell ref="B14:E14"/>
    <mergeCell ref="F14:F15"/>
    <mergeCell ref="G14:L14"/>
  </mergeCells>
  <printOptions horizontalCentered="1" verticalCentered="1"/>
  <pageMargins left="3.937007874015748E-2" right="3.937007874015748E-2" top="0.74803149606299213" bottom="0.74803149606299213" header="0.31496062992125984" footer="0.31496062992125984"/>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P47"/>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27.85546875" style="10" customWidth="1"/>
    <col min="7" max="8" width="15.7109375" style="10" customWidth="1"/>
    <col min="9" max="9" width="17.140625" style="10" customWidth="1"/>
    <col min="10" max="11" width="15.7109375" style="10" customWidth="1"/>
    <col min="12" max="12" width="16.28515625" style="10" customWidth="1"/>
    <col min="13" max="13" width="26.5703125" style="10" customWidth="1"/>
    <col min="14" max="14" width="25.140625" style="10" customWidth="1"/>
    <col min="15" max="15" width="23"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87</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88</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82" t="s">
        <v>124</v>
      </c>
      <c r="B16" s="278" t="s">
        <v>125</v>
      </c>
      <c r="C16" s="45" t="s">
        <v>126</v>
      </c>
      <c r="D16" s="20">
        <v>6</v>
      </c>
      <c r="E16" s="266" t="s">
        <v>37</v>
      </c>
      <c r="F16" s="267" t="s">
        <v>127</v>
      </c>
      <c r="G16" s="156">
        <v>0</v>
      </c>
      <c r="H16" s="156">
        <v>0</v>
      </c>
      <c r="I16" s="156">
        <v>0</v>
      </c>
      <c r="J16" s="156">
        <f>+SUM(G16:I16)</f>
        <v>0</v>
      </c>
      <c r="K16" s="13">
        <f>+IFERROR(J16/D16,"-")</f>
        <v>0</v>
      </c>
      <c r="L16" s="13">
        <f>+K16+50%</f>
        <v>0.5</v>
      </c>
      <c r="M16" s="250" t="s">
        <v>165</v>
      </c>
      <c r="N16" s="250" t="s">
        <v>166</v>
      </c>
      <c r="O16" s="252" t="s">
        <v>167</v>
      </c>
      <c r="P16" s="254" t="s">
        <v>168</v>
      </c>
    </row>
    <row r="17" spans="1:16" ht="99.95" customHeight="1" thickBot="1" x14ac:dyDescent="0.3">
      <c r="A17" s="275"/>
      <c r="B17" s="279"/>
      <c r="C17" s="45" t="s">
        <v>128</v>
      </c>
      <c r="D17" s="22">
        <v>150</v>
      </c>
      <c r="E17" s="266"/>
      <c r="F17" s="268"/>
      <c r="G17" s="156">
        <v>0</v>
      </c>
      <c r="H17" s="156">
        <v>0</v>
      </c>
      <c r="I17" s="156">
        <v>0</v>
      </c>
      <c r="J17" s="156">
        <f t="shared" ref="J17:J35" si="0">+SUM(G17:I17)</f>
        <v>0</v>
      </c>
      <c r="K17" s="13">
        <f t="shared" ref="K17:K34" si="1">+IFERROR(J17/D17,"-")</f>
        <v>0</v>
      </c>
      <c r="L17" s="13">
        <f>+K17+52%</f>
        <v>0.52</v>
      </c>
      <c r="M17" s="251"/>
      <c r="N17" s="251"/>
      <c r="O17" s="253"/>
      <c r="P17" s="255"/>
    </row>
    <row r="18" spans="1:16" ht="99.95" customHeight="1" thickBot="1" x14ac:dyDescent="0.3">
      <c r="A18" s="275"/>
      <c r="B18" s="278" t="s">
        <v>129</v>
      </c>
      <c r="C18" s="45" t="s">
        <v>126</v>
      </c>
      <c r="D18" s="24">
        <v>6</v>
      </c>
      <c r="E18" s="280" t="s">
        <v>37</v>
      </c>
      <c r="F18" s="267" t="s">
        <v>127</v>
      </c>
      <c r="G18" s="156">
        <v>2</v>
      </c>
      <c r="H18" s="156">
        <v>0</v>
      </c>
      <c r="I18" s="156">
        <v>0</v>
      </c>
      <c r="J18" s="156">
        <f t="shared" si="0"/>
        <v>2</v>
      </c>
      <c r="K18" s="13">
        <f t="shared" si="1"/>
        <v>0.33333333333333331</v>
      </c>
      <c r="L18" s="13">
        <f>+K18+66.6666666666666%</f>
        <v>0.99999999999999933</v>
      </c>
      <c r="M18" s="256" t="s">
        <v>169</v>
      </c>
      <c r="N18" s="250" t="s">
        <v>166</v>
      </c>
      <c r="O18" s="252" t="s">
        <v>167</v>
      </c>
      <c r="P18" s="254"/>
    </row>
    <row r="19" spans="1:16" ht="99.95" customHeight="1" thickBot="1" x14ac:dyDescent="0.3">
      <c r="A19" s="275"/>
      <c r="B19" s="279"/>
      <c r="C19" s="45" t="s">
        <v>128</v>
      </c>
      <c r="D19" s="25">
        <v>150</v>
      </c>
      <c r="E19" s="281"/>
      <c r="F19" s="268"/>
      <c r="G19" s="156">
        <v>40</v>
      </c>
      <c r="H19" s="156">
        <v>0</v>
      </c>
      <c r="I19" s="156">
        <v>0</v>
      </c>
      <c r="J19" s="156">
        <f t="shared" si="0"/>
        <v>40</v>
      </c>
      <c r="K19" s="13">
        <f t="shared" si="1"/>
        <v>0.26666666666666666</v>
      </c>
      <c r="L19" s="13">
        <f>+K19+90%</f>
        <v>1.1666666666666667</v>
      </c>
      <c r="M19" s="258"/>
      <c r="N19" s="251"/>
      <c r="O19" s="253"/>
      <c r="P19" s="255"/>
    </row>
    <row r="20" spans="1:16" ht="99.95" customHeight="1" thickBot="1" x14ac:dyDescent="0.3">
      <c r="A20" s="275"/>
      <c r="B20" s="264" t="s">
        <v>130</v>
      </c>
      <c r="C20" s="45" t="s">
        <v>126</v>
      </c>
      <c r="D20" s="24">
        <v>24</v>
      </c>
      <c r="E20" s="266" t="s">
        <v>37</v>
      </c>
      <c r="F20" s="267" t="s">
        <v>131</v>
      </c>
      <c r="G20" s="156">
        <v>2</v>
      </c>
      <c r="H20" s="156">
        <v>2</v>
      </c>
      <c r="I20" s="156">
        <v>2</v>
      </c>
      <c r="J20" s="156">
        <f t="shared" si="0"/>
        <v>6</v>
      </c>
      <c r="K20" s="13">
        <f t="shared" si="1"/>
        <v>0.25</v>
      </c>
      <c r="L20" s="13">
        <f>+K20+66.6666666666666%</f>
        <v>0.91666666666666596</v>
      </c>
      <c r="M20" s="250" t="s">
        <v>170</v>
      </c>
      <c r="N20" s="250" t="s">
        <v>166</v>
      </c>
      <c r="O20" s="252" t="s">
        <v>167</v>
      </c>
      <c r="P20" s="254"/>
    </row>
    <row r="21" spans="1:16" ht="99.95" customHeight="1" thickBot="1" x14ac:dyDescent="0.3">
      <c r="A21" s="276"/>
      <c r="B21" s="265"/>
      <c r="C21" s="45" t="s">
        <v>132</v>
      </c>
      <c r="D21" s="20">
        <v>671</v>
      </c>
      <c r="E21" s="266"/>
      <c r="F21" s="268"/>
      <c r="G21" s="156">
        <v>50</v>
      </c>
      <c r="H21" s="156">
        <v>73</v>
      </c>
      <c r="I21" s="156">
        <v>49</v>
      </c>
      <c r="J21" s="156">
        <f t="shared" si="0"/>
        <v>172</v>
      </c>
      <c r="K21" s="13">
        <f t="shared" si="1"/>
        <v>0.25633383010432192</v>
      </c>
      <c r="L21" s="13">
        <f>+K21+79.1356184798807%</f>
        <v>1.047690014903129</v>
      </c>
      <c r="M21" s="251"/>
      <c r="N21" s="251"/>
      <c r="O21" s="253"/>
      <c r="P21" s="255"/>
    </row>
    <row r="22" spans="1:16" ht="99.95" customHeight="1" thickBot="1" x14ac:dyDescent="0.3">
      <c r="A22" s="274" t="s">
        <v>124</v>
      </c>
      <c r="B22" s="264" t="s">
        <v>133</v>
      </c>
      <c r="C22" s="45" t="s">
        <v>126</v>
      </c>
      <c r="D22" s="20">
        <v>4</v>
      </c>
      <c r="E22" s="266" t="s">
        <v>37</v>
      </c>
      <c r="F22" s="267" t="s">
        <v>134</v>
      </c>
      <c r="G22" s="156">
        <v>0</v>
      </c>
      <c r="H22" s="156">
        <v>0</v>
      </c>
      <c r="I22" s="156">
        <v>0</v>
      </c>
      <c r="J22" s="156">
        <f t="shared" si="0"/>
        <v>0</v>
      </c>
      <c r="K22" s="13">
        <f t="shared" si="1"/>
        <v>0</v>
      </c>
      <c r="L22" s="13">
        <f>+K22+75%</f>
        <v>0.75</v>
      </c>
      <c r="M22" s="250" t="s">
        <v>171</v>
      </c>
      <c r="N22" s="250" t="s">
        <v>166</v>
      </c>
      <c r="O22" s="252" t="s">
        <v>167</v>
      </c>
      <c r="P22" s="254" t="s">
        <v>168</v>
      </c>
    </row>
    <row r="23" spans="1:16" ht="99.95" customHeight="1" thickBot="1" x14ac:dyDescent="0.3">
      <c r="A23" s="275"/>
      <c r="B23" s="265"/>
      <c r="C23" s="45" t="s">
        <v>135</v>
      </c>
      <c r="D23" s="20">
        <v>50</v>
      </c>
      <c r="E23" s="266"/>
      <c r="F23" s="268"/>
      <c r="G23" s="156">
        <v>0</v>
      </c>
      <c r="H23" s="156">
        <v>0</v>
      </c>
      <c r="I23" s="156">
        <v>0</v>
      </c>
      <c r="J23" s="156">
        <f t="shared" si="0"/>
        <v>0</v>
      </c>
      <c r="K23" s="13">
        <f t="shared" si="1"/>
        <v>0</v>
      </c>
      <c r="L23" s="13">
        <f>+K23+116%</f>
        <v>1.1599999999999999</v>
      </c>
      <c r="M23" s="251"/>
      <c r="N23" s="251"/>
      <c r="O23" s="253"/>
      <c r="P23" s="255"/>
    </row>
    <row r="24" spans="1:16" ht="99.95" customHeight="1" thickBot="1" x14ac:dyDescent="0.3">
      <c r="A24" s="275"/>
      <c r="B24" s="264" t="s">
        <v>136</v>
      </c>
      <c r="C24" s="45" t="s">
        <v>126</v>
      </c>
      <c r="D24" s="20">
        <v>2</v>
      </c>
      <c r="E24" s="266" t="s">
        <v>37</v>
      </c>
      <c r="F24" s="267" t="s">
        <v>134</v>
      </c>
      <c r="G24" s="156">
        <v>1</v>
      </c>
      <c r="H24" s="156">
        <v>0</v>
      </c>
      <c r="I24" s="156">
        <v>0</v>
      </c>
      <c r="J24" s="156">
        <f t="shared" si="0"/>
        <v>1</v>
      </c>
      <c r="K24" s="13">
        <f t="shared" si="1"/>
        <v>0.5</v>
      </c>
      <c r="L24" s="13">
        <f>+K24+50%</f>
        <v>1</v>
      </c>
      <c r="M24" s="250" t="s">
        <v>172</v>
      </c>
      <c r="N24" s="250" t="s">
        <v>166</v>
      </c>
      <c r="O24" s="252" t="s">
        <v>167</v>
      </c>
      <c r="P24" s="254" t="s">
        <v>168</v>
      </c>
    </row>
    <row r="25" spans="1:16" ht="99.95" customHeight="1" thickBot="1" x14ac:dyDescent="0.3">
      <c r="A25" s="276"/>
      <c r="B25" s="265"/>
      <c r="C25" s="45" t="s">
        <v>135</v>
      </c>
      <c r="D25" s="20">
        <v>40</v>
      </c>
      <c r="E25" s="266"/>
      <c r="F25" s="268"/>
      <c r="G25" s="156">
        <v>22</v>
      </c>
      <c r="H25" s="156">
        <v>0</v>
      </c>
      <c r="I25" s="156">
        <v>0</v>
      </c>
      <c r="J25" s="156">
        <f t="shared" si="0"/>
        <v>22</v>
      </c>
      <c r="K25" s="13">
        <f t="shared" si="1"/>
        <v>0.55000000000000004</v>
      </c>
      <c r="L25" s="13">
        <f>+K25+87.5%</f>
        <v>1.425</v>
      </c>
      <c r="M25" s="251"/>
      <c r="N25" s="251"/>
      <c r="O25" s="253"/>
      <c r="P25" s="255"/>
    </row>
    <row r="26" spans="1:16" ht="189.75" customHeight="1" thickBot="1" x14ac:dyDescent="0.3">
      <c r="A26" s="171" t="s">
        <v>137</v>
      </c>
      <c r="B26" s="46" t="s">
        <v>138</v>
      </c>
      <c r="C26" s="45" t="s">
        <v>139</v>
      </c>
      <c r="D26" s="20">
        <v>51</v>
      </c>
      <c r="E26" s="21" t="s">
        <v>37</v>
      </c>
      <c r="F26" s="47" t="s">
        <v>140</v>
      </c>
      <c r="G26" s="156">
        <v>5</v>
      </c>
      <c r="H26" s="156">
        <v>5</v>
      </c>
      <c r="I26" s="156">
        <v>5</v>
      </c>
      <c r="J26" s="156">
        <f t="shared" si="0"/>
        <v>15</v>
      </c>
      <c r="K26" s="13">
        <f t="shared" si="1"/>
        <v>0.29411764705882354</v>
      </c>
      <c r="L26" s="13">
        <f>+K26+76.4705882352942%</f>
        <v>1.0588235294117656</v>
      </c>
      <c r="M26" s="53" t="s">
        <v>173</v>
      </c>
      <c r="N26" s="53" t="s">
        <v>174</v>
      </c>
      <c r="O26" s="54" t="s">
        <v>175</v>
      </c>
      <c r="P26" s="55"/>
    </row>
    <row r="27" spans="1:16" ht="99.95" customHeight="1" thickBot="1" x14ac:dyDescent="0.3">
      <c r="A27" s="269" t="s">
        <v>141</v>
      </c>
      <c r="B27" s="264" t="s">
        <v>142</v>
      </c>
      <c r="C27" s="45" t="s">
        <v>143</v>
      </c>
      <c r="D27" s="20">
        <v>3</v>
      </c>
      <c r="E27" s="272" t="s">
        <v>37</v>
      </c>
      <c r="F27" s="259" t="s">
        <v>144</v>
      </c>
      <c r="G27" s="156">
        <v>0</v>
      </c>
      <c r="H27" s="156">
        <v>0</v>
      </c>
      <c r="I27" s="156">
        <v>0</v>
      </c>
      <c r="J27" s="156">
        <f t="shared" si="0"/>
        <v>0</v>
      </c>
      <c r="K27" s="13">
        <f t="shared" si="1"/>
        <v>0</v>
      </c>
      <c r="L27" s="13">
        <f>+K27+66.6666666666666%</f>
        <v>0.66666666666666596</v>
      </c>
      <c r="M27" s="256" t="s">
        <v>176</v>
      </c>
      <c r="N27" s="259" t="s">
        <v>177</v>
      </c>
      <c r="O27" s="252" t="s">
        <v>178</v>
      </c>
      <c r="P27" s="263"/>
    </row>
    <row r="28" spans="1:16" ht="99.95" customHeight="1" thickBot="1" x14ac:dyDescent="0.3">
      <c r="A28" s="269"/>
      <c r="B28" s="271"/>
      <c r="C28" s="45" t="s">
        <v>145</v>
      </c>
      <c r="D28" s="20">
        <v>6</v>
      </c>
      <c r="E28" s="272"/>
      <c r="F28" s="260"/>
      <c r="G28" s="156">
        <v>0</v>
      </c>
      <c r="H28" s="156">
        <v>0</v>
      </c>
      <c r="I28" s="156">
        <v>0</v>
      </c>
      <c r="J28" s="156">
        <f t="shared" si="0"/>
        <v>0</v>
      </c>
      <c r="K28" s="13">
        <f t="shared" si="1"/>
        <v>0</v>
      </c>
      <c r="L28" s="13">
        <f>+K28+133.333333333333%</f>
        <v>1.3333333333333299</v>
      </c>
      <c r="M28" s="257"/>
      <c r="N28" s="260"/>
      <c r="O28" s="262"/>
      <c r="P28" s="263"/>
    </row>
    <row r="29" spans="1:16" ht="99.95" customHeight="1" thickBot="1" x14ac:dyDescent="0.3">
      <c r="A29" s="269"/>
      <c r="B29" s="271"/>
      <c r="C29" s="45" t="s">
        <v>146</v>
      </c>
      <c r="D29" s="20">
        <v>90</v>
      </c>
      <c r="E29" s="272"/>
      <c r="F29" s="260"/>
      <c r="G29" s="156">
        <v>0</v>
      </c>
      <c r="H29" s="156">
        <v>0</v>
      </c>
      <c r="I29" s="156">
        <v>0</v>
      </c>
      <c r="J29" s="156">
        <f t="shared" si="0"/>
        <v>0</v>
      </c>
      <c r="K29" s="13">
        <f t="shared" si="1"/>
        <v>0</v>
      </c>
      <c r="L29" s="13">
        <f>+K29+77.7777777777778%</f>
        <v>0.77777777777777801</v>
      </c>
      <c r="M29" s="257"/>
      <c r="N29" s="260"/>
      <c r="O29" s="262"/>
      <c r="P29" s="263"/>
    </row>
    <row r="30" spans="1:16" ht="99.95" customHeight="1" thickBot="1" x14ac:dyDescent="0.3">
      <c r="A30" s="269"/>
      <c r="B30" s="271"/>
      <c r="C30" s="45" t="s">
        <v>147</v>
      </c>
      <c r="D30" s="20">
        <v>2</v>
      </c>
      <c r="E30" s="272"/>
      <c r="F30" s="260"/>
      <c r="G30" s="156">
        <v>0</v>
      </c>
      <c r="H30" s="156">
        <v>0</v>
      </c>
      <c r="I30" s="156">
        <v>0</v>
      </c>
      <c r="J30" s="156">
        <f t="shared" si="0"/>
        <v>0</v>
      </c>
      <c r="K30" s="13">
        <f t="shared" si="1"/>
        <v>0</v>
      </c>
      <c r="L30" s="13">
        <f>+K30+50%</f>
        <v>0.5</v>
      </c>
      <c r="M30" s="257"/>
      <c r="N30" s="260"/>
      <c r="O30" s="262"/>
      <c r="P30" s="263"/>
    </row>
    <row r="31" spans="1:16" ht="99.95" customHeight="1" thickBot="1" x14ac:dyDescent="0.3">
      <c r="A31" s="269"/>
      <c r="B31" s="271"/>
      <c r="C31" s="45" t="s">
        <v>148</v>
      </c>
      <c r="D31" s="20">
        <v>4</v>
      </c>
      <c r="E31" s="272"/>
      <c r="F31" s="260"/>
      <c r="G31" s="156">
        <v>0</v>
      </c>
      <c r="H31" s="156">
        <v>0</v>
      </c>
      <c r="I31" s="156">
        <v>0</v>
      </c>
      <c r="J31" s="156">
        <f t="shared" si="0"/>
        <v>0</v>
      </c>
      <c r="K31" s="13">
        <f t="shared" si="1"/>
        <v>0</v>
      </c>
      <c r="L31" s="13">
        <f>+K31+75%</f>
        <v>0.75</v>
      </c>
      <c r="M31" s="257"/>
      <c r="N31" s="260"/>
      <c r="O31" s="262"/>
      <c r="P31" s="263"/>
    </row>
    <row r="32" spans="1:16" ht="99.95" customHeight="1" thickBot="1" x14ac:dyDescent="0.3">
      <c r="A32" s="270"/>
      <c r="B32" s="265"/>
      <c r="C32" s="45" t="s">
        <v>149</v>
      </c>
      <c r="D32" s="20">
        <v>60</v>
      </c>
      <c r="E32" s="273"/>
      <c r="F32" s="261"/>
      <c r="G32" s="156">
        <v>0</v>
      </c>
      <c r="H32" s="156">
        <v>0</v>
      </c>
      <c r="I32" s="156">
        <v>0</v>
      </c>
      <c r="J32" s="156">
        <f t="shared" si="0"/>
        <v>0</v>
      </c>
      <c r="K32" s="13">
        <f t="shared" si="1"/>
        <v>0</v>
      </c>
      <c r="L32" s="13">
        <f>+K32+33.3333333333333%</f>
        <v>0.33333333333333298</v>
      </c>
      <c r="M32" s="258"/>
      <c r="N32" s="261"/>
      <c r="O32" s="253"/>
      <c r="P32" s="255"/>
    </row>
    <row r="33" spans="1:16" ht="178.5" customHeight="1" thickBot="1" x14ac:dyDescent="0.3">
      <c r="A33" s="48" t="s">
        <v>150</v>
      </c>
      <c r="B33" s="46" t="s">
        <v>151</v>
      </c>
      <c r="C33" s="45" t="s">
        <v>152</v>
      </c>
      <c r="D33" s="20">
        <v>160</v>
      </c>
      <c r="E33" s="21" t="s">
        <v>37</v>
      </c>
      <c r="F33" s="47" t="s">
        <v>153</v>
      </c>
      <c r="G33" s="156">
        <v>18</v>
      </c>
      <c r="H33" s="156">
        <v>13</v>
      </c>
      <c r="I33" s="156">
        <v>7</v>
      </c>
      <c r="J33" s="156">
        <f t="shared" si="0"/>
        <v>38</v>
      </c>
      <c r="K33" s="13">
        <f t="shared" si="1"/>
        <v>0.23749999999999999</v>
      </c>
      <c r="L33" s="13">
        <f>+K33+89.375%</f>
        <v>1.1312500000000001</v>
      </c>
      <c r="M33" s="56" t="s">
        <v>179</v>
      </c>
      <c r="N33" s="56" t="s">
        <v>180</v>
      </c>
      <c r="O33" s="54" t="s">
        <v>181</v>
      </c>
      <c r="P33" s="57"/>
    </row>
    <row r="34" spans="1:16" ht="178.5" customHeight="1" thickBot="1" x14ac:dyDescent="0.3">
      <c r="A34" s="274" t="s">
        <v>154</v>
      </c>
      <c r="B34" s="46" t="s">
        <v>155</v>
      </c>
      <c r="C34" s="49" t="s">
        <v>156</v>
      </c>
      <c r="D34" s="20">
        <v>3040</v>
      </c>
      <c r="E34" s="21" t="s">
        <v>37</v>
      </c>
      <c r="F34" s="47" t="s">
        <v>157</v>
      </c>
      <c r="G34" s="156">
        <v>703</v>
      </c>
      <c r="H34" s="156">
        <v>554</v>
      </c>
      <c r="I34" s="156">
        <v>504</v>
      </c>
      <c r="J34" s="156">
        <f t="shared" si="0"/>
        <v>1761</v>
      </c>
      <c r="K34" s="13">
        <f t="shared" si="1"/>
        <v>0.57927631578947369</v>
      </c>
      <c r="L34" s="13">
        <f>+K34+41.0855263157895%</f>
        <v>0.9901315789473687</v>
      </c>
      <c r="M34" s="56" t="s">
        <v>182</v>
      </c>
      <c r="N34" s="53" t="s">
        <v>183</v>
      </c>
      <c r="O34" s="54" t="s">
        <v>184</v>
      </c>
      <c r="P34" s="55" t="s">
        <v>185</v>
      </c>
    </row>
    <row r="35" spans="1:16" ht="130.5" customHeight="1" thickBot="1" x14ac:dyDescent="0.3">
      <c r="A35" s="275"/>
      <c r="B35" s="46" t="s">
        <v>158</v>
      </c>
      <c r="C35" s="45" t="s">
        <v>159</v>
      </c>
      <c r="D35" s="20">
        <v>23</v>
      </c>
      <c r="E35" s="21" t="s">
        <v>37</v>
      </c>
      <c r="F35" s="47" t="s">
        <v>160</v>
      </c>
      <c r="G35" s="156">
        <v>2</v>
      </c>
      <c r="H35" s="156">
        <v>5</v>
      </c>
      <c r="I35" s="156">
        <v>0</v>
      </c>
      <c r="J35" s="156">
        <f t="shared" si="0"/>
        <v>7</v>
      </c>
      <c r="K35" s="13">
        <f>+IFERROR(J35/D35,"-")</f>
        <v>0.30434782608695654</v>
      </c>
      <c r="L35" s="13">
        <f>+K35+39.1304347826087%</f>
        <v>0.69565217391304357</v>
      </c>
      <c r="M35" s="56" t="s">
        <v>182</v>
      </c>
      <c r="N35" s="56" t="s">
        <v>186</v>
      </c>
      <c r="O35" s="54" t="s">
        <v>184</v>
      </c>
      <c r="P35" s="55" t="s">
        <v>187</v>
      </c>
    </row>
    <row r="36" spans="1:16" ht="174" customHeight="1" thickBot="1" x14ac:dyDescent="0.3">
      <c r="A36" s="19" t="s">
        <v>161</v>
      </c>
      <c r="B36" s="50" t="s">
        <v>162</v>
      </c>
      <c r="C36" s="51" t="s">
        <v>163</v>
      </c>
      <c r="D36" s="20">
        <v>6</v>
      </c>
      <c r="E36" s="21" t="s">
        <v>37</v>
      </c>
      <c r="F36" s="52" t="s">
        <v>164</v>
      </c>
      <c r="G36" s="156">
        <v>0</v>
      </c>
      <c r="H36" s="156">
        <v>0</v>
      </c>
      <c r="I36" s="156">
        <v>0</v>
      </c>
      <c r="J36" s="156">
        <f t="shared" ref="J36" si="2">+SUM(G36:I36)</f>
        <v>0</v>
      </c>
      <c r="K36" s="13">
        <f>+IFERROR(J36/D36,"-")</f>
        <v>0</v>
      </c>
      <c r="L36" s="13">
        <f>+K36+133.333333333333%</f>
        <v>1.3333333333333299</v>
      </c>
      <c r="M36" s="56" t="s">
        <v>182</v>
      </c>
      <c r="N36" s="58" t="s">
        <v>188</v>
      </c>
      <c r="O36" s="59" t="s">
        <v>189</v>
      </c>
      <c r="P36" s="58"/>
    </row>
    <row r="37" spans="1:16" x14ac:dyDescent="0.25">
      <c r="A37" s="14"/>
      <c r="B37" s="14"/>
      <c r="C37" s="14"/>
      <c r="D37" s="14"/>
      <c r="E37" s="14"/>
      <c r="F37" s="15"/>
      <c r="G37" s="14"/>
      <c r="H37" s="14"/>
      <c r="I37" s="14"/>
      <c r="J37" s="14"/>
      <c r="K37" s="14"/>
      <c r="L37" s="14"/>
      <c r="M37" s="15"/>
      <c r="N37" s="15"/>
      <c r="O37" s="15"/>
    </row>
    <row r="38" spans="1:16" x14ac:dyDescent="0.25">
      <c r="A38" s="14"/>
      <c r="B38" s="14"/>
      <c r="C38" s="14"/>
      <c r="D38" s="14"/>
      <c r="E38" s="14"/>
      <c r="F38" s="15"/>
      <c r="G38" s="14"/>
      <c r="H38" s="14"/>
      <c r="I38" s="14"/>
      <c r="J38" s="14"/>
      <c r="K38" s="14"/>
      <c r="L38" s="14"/>
      <c r="M38" s="15"/>
      <c r="N38" s="15"/>
      <c r="O38" s="15"/>
    </row>
    <row r="39" spans="1:16" x14ac:dyDescent="0.25">
      <c r="A39" s="14"/>
      <c r="B39" s="14"/>
      <c r="C39" s="14"/>
      <c r="D39" s="14"/>
      <c r="E39" s="14"/>
      <c r="F39" s="15"/>
      <c r="G39" s="14"/>
      <c r="H39" s="14"/>
      <c r="I39" s="14"/>
      <c r="J39" s="14"/>
      <c r="K39" s="14"/>
      <c r="L39" s="14"/>
      <c r="M39" s="15"/>
      <c r="N39" s="15"/>
      <c r="O39" s="15"/>
    </row>
    <row r="40" spans="1:16" x14ac:dyDescent="0.25">
      <c r="A40" s="15"/>
      <c r="B40" s="15"/>
      <c r="C40" s="15"/>
      <c r="D40" s="15"/>
      <c r="E40" s="15"/>
      <c r="F40" s="15"/>
      <c r="G40" s="15"/>
      <c r="H40" s="15"/>
      <c r="I40" s="15"/>
      <c r="J40" s="15"/>
      <c r="K40" s="15"/>
      <c r="L40" s="15"/>
      <c r="M40" s="15"/>
      <c r="N40" s="15"/>
      <c r="O40" s="15"/>
    </row>
    <row r="41" spans="1:16" x14ac:dyDescent="0.25">
      <c r="A41" s="15"/>
      <c r="B41" s="15"/>
      <c r="C41" s="15"/>
      <c r="D41" s="15"/>
      <c r="E41" s="15"/>
      <c r="F41" s="15"/>
      <c r="G41" s="15"/>
      <c r="H41" s="15"/>
      <c r="I41" s="15"/>
      <c r="J41" s="15"/>
      <c r="K41" s="15"/>
      <c r="L41" s="15"/>
      <c r="M41" s="15"/>
      <c r="N41" s="15"/>
      <c r="O41" s="15"/>
    </row>
    <row r="42" spans="1:16" x14ac:dyDescent="0.25">
      <c r="A42" s="15"/>
      <c r="B42" s="15"/>
      <c r="C42" s="15"/>
      <c r="D42" s="15"/>
      <c r="E42" s="15"/>
      <c r="F42" s="15"/>
      <c r="G42" s="15"/>
      <c r="H42" s="15"/>
      <c r="I42" s="15"/>
      <c r="J42" s="15"/>
      <c r="K42" s="15"/>
      <c r="L42" s="15"/>
      <c r="M42" s="15"/>
      <c r="N42" s="15"/>
      <c r="O42" s="15"/>
    </row>
    <row r="43" spans="1:16" x14ac:dyDescent="0.25">
      <c r="A43" s="15"/>
      <c r="B43" s="15"/>
      <c r="C43" s="15"/>
      <c r="D43" s="15"/>
      <c r="E43" s="15"/>
      <c r="F43" s="15"/>
      <c r="G43" s="15"/>
      <c r="H43" s="15"/>
      <c r="I43" s="15"/>
      <c r="J43" s="15"/>
      <c r="K43" s="15"/>
      <c r="L43" s="15"/>
      <c r="M43" s="15"/>
      <c r="N43" s="15"/>
      <c r="O43" s="15"/>
    </row>
    <row r="44" spans="1:16" x14ac:dyDescent="0.25">
      <c r="A44" s="15"/>
      <c r="B44" s="15"/>
      <c r="C44" s="15"/>
      <c r="D44" s="15"/>
      <c r="E44" s="15"/>
      <c r="F44" s="15"/>
      <c r="G44" s="15"/>
      <c r="H44" s="15"/>
      <c r="I44" s="15"/>
      <c r="J44" s="15"/>
      <c r="K44" s="15"/>
      <c r="L44" s="15"/>
      <c r="M44" s="15"/>
      <c r="N44" s="15"/>
      <c r="O44" s="15"/>
    </row>
    <row r="45" spans="1:16" x14ac:dyDescent="0.25">
      <c r="A45" s="15"/>
      <c r="B45" s="15"/>
      <c r="C45" s="15"/>
      <c r="D45" s="15"/>
      <c r="E45" s="15"/>
      <c r="F45" s="15"/>
      <c r="G45" s="15"/>
      <c r="H45" s="15"/>
      <c r="I45" s="15"/>
      <c r="J45" s="15"/>
      <c r="K45" s="15"/>
      <c r="L45" s="15"/>
      <c r="M45" s="15"/>
      <c r="N45" s="15"/>
      <c r="O45" s="15"/>
    </row>
    <row r="46" spans="1:16" ht="15" customHeight="1" x14ac:dyDescent="0.25">
      <c r="A46" s="277"/>
      <c r="B46" s="277"/>
      <c r="C46" s="277"/>
      <c r="D46" s="277"/>
      <c r="E46" s="277"/>
      <c r="F46" s="277"/>
      <c r="G46" s="277"/>
      <c r="H46" s="277"/>
      <c r="I46" s="277"/>
      <c r="J46" s="277"/>
      <c r="K46" s="16"/>
      <c r="L46" s="16"/>
    </row>
    <row r="47" spans="1:16" x14ac:dyDescent="0.25">
      <c r="A47" s="277"/>
      <c r="B47" s="277"/>
      <c r="C47" s="277"/>
      <c r="D47" s="277"/>
      <c r="E47" s="277"/>
      <c r="F47" s="277"/>
      <c r="G47" s="277"/>
      <c r="H47" s="277"/>
      <c r="I47" s="277"/>
      <c r="J47" s="277"/>
      <c r="K47" s="16"/>
      <c r="L47" s="16"/>
    </row>
  </sheetData>
  <mergeCells count="61">
    <mergeCell ref="O14:O15"/>
    <mergeCell ref="P14:P15"/>
    <mergeCell ref="A14:A15"/>
    <mergeCell ref="B14:E14"/>
    <mergeCell ref="F14:F15"/>
    <mergeCell ref="G14:L14"/>
    <mergeCell ref="M14:M15"/>
    <mergeCell ref="N14:N15"/>
    <mergeCell ref="A12:P13"/>
    <mergeCell ref="A6:P6"/>
    <mergeCell ref="A7:P7"/>
    <mergeCell ref="A8:P8"/>
    <mergeCell ref="A9:P9"/>
    <mergeCell ref="A10:P11"/>
    <mergeCell ref="A46:J47"/>
    <mergeCell ref="B16:B17"/>
    <mergeCell ref="E16:E17"/>
    <mergeCell ref="F16:F17"/>
    <mergeCell ref="B18:B19"/>
    <mergeCell ref="E18:E19"/>
    <mergeCell ref="F18:F19"/>
    <mergeCell ref="F27:F32"/>
    <mergeCell ref="B20:B21"/>
    <mergeCell ref="E20:E21"/>
    <mergeCell ref="F20:F21"/>
    <mergeCell ref="B22:B23"/>
    <mergeCell ref="E22:E23"/>
    <mergeCell ref="F22:F23"/>
    <mergeCell ref="A34:A35"/>
    <mergeCell ref="A16:A21"/>
    <mergeCell ref="M16:M17"/>
    <mergeCell ref="N16:N17"/>
    <mergeCell ref="O16:O17"/>
    <mergeCell ref="P16:P17"/>
    <mergeCell ref="M18:M19"/>
    <mergeCell ref="N18:N19"/>
    <mergeCell ref="O18:O19"/>
    <mergeCell ref="P18:P19"/>
    <mergeCell ref="B24:B25"/>
    <mergeCell ref="E24:E25"/>
    <mergeCell ref="F24:F25"/>
    <mergeCell ref="A27:A32"/>
    <mergeCell ref="B27:B32"/>
    <mergeCell ref="E27:E32"/>
    <mergeCell ref="A22:A25"/>
    <mergeCell ref="N20:N21"/>
    <mergeCell ref="O20:O21"/>
    <mergeCell ref="P20:P21"/>
    <mergeCell ref="M22:M23"/>
    <mergeCell ref="N22:N23"/>
    <mergeCell ref="O22:O23"/>
    <mergeCell ref="P22:P23"/>
    <mergeCell ref="M20:M21"/>
    <mergeCell ref="N24:N25"/>
    <mergeCell ref="O24:O25"/>
    <mergeCell ref="P24:P25"/>
    <mergeCell ref="M27:M32"/>
    <mergeCell ref="N27:N32"/>
    <mergeCell ref="O27:O32"/>
    <mergeCell ref="P27:P32"/>
    <mergeCell ref="M24:M25"/>
  </mergeCells>
  <printOptions horizontalCentered="1" verticalCentered="1"/>
  <pageMargins left="3.937007874015748E-2" right="3.937007874015748E-2" top="0.74803149606299213" bottom="0.74803149606299213" header="0.31496062992125984" footer="0.31496062992125984"/>
  <pageSetup scale="35" fitToHeight="0" orientation="landscape" r:id="rId1"/>
  <rowBreaks count="3" manualBreakCount="3">
    <brk id="21" max="15" man="1"/>
    <brk id="26" max="15" man="1"/>
    <brk id="3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P31"/>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39.285156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2.42578125" style="10" customWidth="1"/>
    <col min="15" max="15" width="30.8554687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89</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88</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141" customHeight="1" thickBot="1" x14ac:dyDescent="0.3">
      <c r="A16" s="283" t="s">
        <v>190</v>
      </c>
      <c r="B16" s="26" t="s">
        <v>191</v>
      </c>
      <c r="C16" s="26" t="s">
        <v>192</v>
      </c>
      <c r="D16" s="20">
        <v>871</v>
      </c>
      <c r="E16" s="21" t="s">
        <v>60</v>
      </c>
      <c r="F16" s="60" t="s">
        <v>193</v>
      </c>
      <c r="G16" s="155">
        <v>224</v>
      </c>
      <c r="H16" s="155">
        <v>242</v>
      </c>
      <c r="I16" s="156">
        <v>228</v>
      </c>
      <c r="J16" s="156">
        <f>+SUM(G16:I16)</f>
        <v>694</v>
      </c>
      <c r="K16" s="13">
        <f>+IFERROR(J16/D16,"-")</f>
        <v>0.79678530424799077</v>
      </c>
      <c r="L16" s="13">
        <f>+K16+89.7818599311136%</f>
        <v>1.6946039035591269</v>
      </c>
      <c r="M16" s="26" t="s">
        <v>204</v>
      </c>
      <c r="N16" s="283" t="s">
        <v>205</v>
      </c>
      <c r="O16" s="60" t="s">
        <v>206</v>
      </c>
      <c r="P16" s="19"/>
    </row>
    <row r="17" spans="1:16" ht="204.75" customHeight="1" thickBot="1" x14ac:dyDescent="0.3">
      <c r="A17" s="283"/>
      <c r="B17" s="26" t="s">
        <v>194</v>
      </c>
      <c r="C17" s="26" t="s">
        <v>195</v>
      </c>
      <c r="D17" s="22">
        <v>2760</v>
      </c>
      <c r="E17" s="23" t="s">
        <v>37</v>
      </c>
      <c r="F17" s="60" t="s">
        <v>196</v>
      </c>
      <c r="G17" s="155">
        <v>532</v>
      </c>
      <c r="H17" s="155">
        <v>510</v>
      </c>
      <c r="I17" s="156">
        <v>335</v>
      </c>
      <c r="J17" s="156">
        <f t="shared" ref="J17:J18" si="0">+SUM(G17:I17)</f>
        <v>1377</v>
      </c>
      <c r="K17" s="13">
        <f t="shared" ref="K17:K19" si="1">+IFERROR(J17/D17,"-")</f>
        <v>0.49891304347826088</v>
      </c>
      <c r="L17" s="13">
        <f>+K17+165.289855072464%</f>
        <v>2.151811594202901</v>
      </c>
      <c r="M17" s="26" t="s">
        <v>204</v>
      </c>
      <c r="N17" s="283"/>
      <c r="O17" s="60" t="s">
        <v>207</v>
      </c>
      <c r="P17" s="19"/>
    </row>
    <row r="18" spans="1:16" ht="232.5" customHeight="1" thickBot="1" x14ac:dyDescent="0.3">
      <c r="A18" s="283"/>
      <c r="B18" s="26" t="s">
        <v>197</v>
      </c>
      <c r="C18" s="26" t="s">
        <v>198</v>
      </c>
      <c r="D18" s="24">
        <v>4</v>
      </c>
      <c r="E18" s="23" t="s">
        <v>199</v>
      </c>
      <c r="F18" s="60" t="s">
        <v>200</v>
      </c>
      <c r="G18" s="155">
        <v>0</v>
      </c>
      <c r="H18" s="155">
        <v>0</v>
      </c>
      <c r="I18" s="156">
        <v>1</v>
      </c>
      <c r="J18" s="156">
        <f t="shared" si="0"/>
        <v>1</v>
      </c>
      <c r="K18" s="13">
        <f t="shared" si="1"/>
        <v>0.25</v>
      </c>
      <c r="L18" s="13">
        <f>+K18+25%</f>
        <v>0.5</v>
      </c>
      <c r="M18" s="26" t="s">
        <v>204</v>
      </c>
      <c r="N18" s="283"/>
      <c r="O18" s="60" t="s">
        <v>899</v>
      </c>
      <c r="P18" s="19"/>
    </row>
    <row r="19" spans="1:16" ht="156" customHeight="1" thickBot="1" x14ac:dyDescent="0.3">
      <c r="A19" s="283"/>
      <c r="B19" s="26" t="s">
        <v>201</v>
      </c>
      <c r="C19" s="26" t="s">
        <v>202</v>
      </c>
      <c r="D19" s="25">
        <v>2</v>
      </c>
      <c r="E19" s="23" t="s">
        <v>199</v>
      </c>
      <c r="F19" s="60" t="s">
        <v>203</v>
      </c>
      <c r="G19" s="155">
        <v>0</v>
      </c>
      <c r="H19" s="155">
        <v>0</v>
      </c>
      <c r="I19" s="156">
        <v>0</v>
      </c>
      <c r="J19" s="156">
        <f>+IF(AND(G19&lt;&gt;"",H19="",I19=""),G19,IF(AND(G19&lt;&gt;"",H19&lt;&gt;"",I19=""),H19,IF(AND(G19&lt;&gt;"",H19&lt;&gt;"",I19&lt;&gt;""),I19,"N/D")))</f>
        <v>0</v>
      </c>
      <c r="K19" s="13">
        <f t="shared" si="1"/>
        <v>0</v>
      </c>
      <c r="L19" s="13">
        <f>IFERROR(+K19+0%,0)</f>
        <v>0</v>
      </c>
      <c r="M19" s="26" t="s">
        <v>204</v>
      </c>
      <c r="N19" s="283"/>
      <c r="O19" s="60" t="s">
        <v>208</v>
      </c>
      <c r="P19" s="19"/>
    </row>
    <row r="20" spans="1:16" x14ac:dyDescent="0.25">
      <c r="A20" s="14"/>
      <c r="B20" s="14"/>
      <c r="C20" s="14"/>
      <c r="D20" s="14"/>
      <c r="E20" s="14"/>
      <c r="F20" s="15"/>
      <c r="G20" s="14"/>
      <c r="H20" s="14"/>
      <c r="I20" s="14"/>
      <c r="J20" s="14"/>
      <c r="K20" s="14"/>
      <c r="L20" s="14"/>
      <c r="M20" s="15"/>
      <c r="N20" s="15"/>
      <c r="O20" s="15"/>
    </row>
    <row r="21" spans="1:16" x14ac:dyDescent="0.25">
      <c r="A21" s="14"/>
      <c r="B21" s="14"/>
      <c r="C21" s="14"/>
      <c r="D21" s="14"/>
      <c r="E21" s="14"/>
      <c r="F21" s="15"/>
      <c r="G21" s="14"/>
      <c r="H21" s="14"/>
      <c r="I21" s="14"/>
      <c r="J21" s="14"/>
      <c r="K21" s="14"/>
      <c r="L21" s="14"/>
      <c r="M21" s="15"/>
      <c r="N21" s="15"/>
      <c r="O21" s="15"/>
    </row>
    <row r="22" spans="1:16" x14ac:dyDescent="0.25">
      <c r="A22" s="14"/>
      <c r="B22" s="14"/>
      <c r="C22" s="14"/>
      <c r="D22" s="14"/>
      <c r="E22" s="14"/>
      <c r="F22" s="15"/>
      <c r="G22" s="14"/>
      <c r="H22" s="14"/>
      <c r="I22" s="14"/>
      <c r="J22" s="14"/>
      <c r="K22" s="14"/>
      <c r="L22" s="14"/>
      <c r="M22" s="15"/>
      <c r="N22" s="15"/>
      <c r="O22" s="15"/>
    </row>
    <row r="23" spans="1:16" x14ac:dyDescent="0.25">
      <c r="A23" s="14"/>
      <c r="B23" s="14"/>
      <c r="C23" s="14"/>
      <c r="D23" s="14"/>
      <c r="E23" s="14"/>
      <c r="F23" s="15"/>
      <c r="G23" s="14"/>
      <c r="H23" s="14"/>
      <c r="I23" s="14"/>
      <c r="J23" s="14"/>
      <c r="K23" s="14"/>
      <c r="L23" s="14"/>
      <c r="M23" s="15"/>
      <c r="N23" s="15"/>
      <c r="O23" s="15"/>
    </row>
    <row r="24" spans="1:16" x14ac:dyDescent="0.25">
      <c r="A24" s="15"/>
      <c r="B24" s="15"/>
      <c r="C24" s="15"/>
      <c r="D24" s="15"/>
      <c r="E24" s="15"/>
      <c r="F24" s="15"/>
      <c r="G24" s="15"/>
      <c r="H24" s="15"/>
      <c r="I24" s="15"/>
      <c r="J24" s="15"/>
      <c r="K24" s="15"/>
      <c r="L24" s="15"/>
      <c r="M24" s="15"/>
      <c r="N24" s="15"/>
      <c r="O24" s="15"/>
    </row>
    <row r="25" spans="1:16" x14ac:dyDescent="0.25">
      <c r="A25" s="15"/>
      <c r="B25" s="15"/>
      <c r="C25" s="15"/>
      <c r="D25" s="15"/>
      <c r="E25" s="15"/>
      <c r="F25" s="15"/>
      <c r="G25" s="15"/>
      <c r="H25" s="15"/>
      <c r="I25" s="15"/>
      <c r="J25" s="15"/>
      <c r="K25" s="15"/>
      <c r="L25" s="15"/>
      <c r="M25" s="15"/>
      <c r="N25" s="15"/>
      <c r="O25" s="15"/>
    </row>
    <row r="26" spans="1:16" x14ac:dyDescent="0.25">
      <c r="A26" s="15"/>
      <c r="B26" s="15"/>
      <c r="C26" s="15"/>
      <c r="D26" s="15"/>
      <c r="E26" s="15"/>
      <c r="F26" s="15"/>
      <c r="G26" s="15"/>
      <c r="H26" s="15"/>
      <c r="I26" s="15"/>
      <c r="J26" s="15"/>
      <c r="K26" s="15"/>
      <c r="L26" s="15"/>
      <c r="M26" s="15"/>
      <c r="N26" s="15"/>
      <c r="O26" s="15"/>
    </row>
    <row r="27" spans="1:16" x14ac:dyDescent="0.25">
      <c r="A27" s="15"/>
      <c r="B27" s="15"/>
      <c r="C27" s="15"/>
      <c r="D27" s="15"/>
      <c r="E27" s="15"/>
      <c r="F27" s="15"/>
      <c r="G27" s="15"/>
      <c r="H27" s="15"/>
      <c r="I27" s="15"/>
      <c r="J27" s="15"/>
      <c r="K27" s="15"/>
      <c r="L27" s="15"/>
      <c r="M27" s="15"/>
      <c r="N27" s="15"/>
      <c r="O27" s="15"/>
    </row>
    <row r="28" spans="1:16" x14ac:dyDescent="0.25">
      <c r="A28" s="15"/>
      <c r="B28" s="15"/>
      <c r="C28" s="15"/>
      <c r="D28" s="15"/>
      <c r="E28" s="15"/>
      <c r="F28" s="15"/>
      <c r="G28" s="15"/>
      <c r="H28" s="15"/>
      <c r="I28" s="15"/>
      <c r="J28" s="15"/>
      <c r="K28" s="15"/>
      <c r="L28" s="15"/>
      <c r="M28" s="15"/>
      <c r="N28" s="15"/>
      <c r="O28" s="15"/>
    </row>
    <row r="29" spans="1:16" x14ac:dyDescent="0.25">
      <c r="A29" s="15"/>
      <c r="B29" s="15"/>
      <c r="C29" s="15"/>
      <c r="D29" s="15"/>
      <c r="E29" s="15"/>
      <c r="F29" s="15"/>
      <c r="G29" s="15"/>
      <c r="H29" s="15"/>
      <c r="I29" s="15"/>
      <c r="J29" s="15"/>
      <c r="K29" s="15"/>
      <c r="L29" s="15"/>
      <c r="M29" s="15"/>
      <c r="N29" s="15"/>
      <c r="O29" s="15"/>
    </row>
    <row r="30" spans="1:16" ht="15" customHeight="1" x14ac:dyDescent="0.25">
      <c r="A30" s="277"/>
      <c r="B30" s="277"/>
      <c r="C30" s="277"/>
      <c r="D30" s="277"/>
      <c r="E30" s="277"/>
      <c r="F30" s="277"/>
      <c r="G30" s="277"/>
      <c r="H30" s="277"/>
      <c r="I30" s="277"/>
      <c r="J30" s="277"/>
      <c r="K30" s="16"/>
      <c r="L30" s="16"/>
    </row>
    <row r="31" spans="1:16" x14ac:dyDescent="0.25">
      <c r="A31" s="277"/>
      <c r="B31" s="277"/>
      <c r="C31" s="277"/>
      <c r="D31" s="277"/>
      <c r="E31" s="277"/>
      <c r="F31" s="277"/>
      <c r="G31" s="277"/>
      <c r="H31" s="277"/>
      <c r="I31" s="277"/>
      <c r="J31" s="277"/>
      <c r="K31" s="16"/>
      <c r="L31" s="16"/>
    </row>
  </sheetData>
  <mergeCells count="17">
    <mergeCell ref="A12:P13"/>
    <mergeCell ref="A6:P6"/>
    <mergeCell ref="A7:P7"/>
    <mergeCell ref="A8:P8"/>
    <mergeCell ref="A9:P9"/>
    <mergeCell ref="A10:P11"/>
    <mergeCell ref="O14:O15"/>
    <mergeCell ref="P14:P15"/>
    <mergeCell ref="A30:J31"/>
    <mergeCell ref="A16:A19"/>
    <mergeCell ref="N16:N19"/>
    <mergeCell ref="A14:A15"/>
    <mergeCell ref="B14:E14"/>
    <mergeCell ref="F14:F15"/>
    <mergeCell ref="G14:L14"/>
    <mergeCell ref="M14:M15"/>
    <mergeCell ref="N14:N15"/>
  </mergeCells>
  <printOptions horizontalCentered="1" verticalCentered="1"/>
  <pageMargins left="3.937007874015748E-2" right="3.937007874015748E-2" top="0.74803149606299213" bottom="0.74803149606299213" header="0.31496062992125984" footer="0.31496062992125984"/>
  <pageSetup scale="3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P34"/>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44.28515625" style="10" customWidth="1"/>
    <col min="7" max="9" width="23.42578125" style="10" customWidth="1"/>
    <col min="10" max="10" width="22.5703125" style="10" bestFit="1" customWidth="1"/>
    <col min="11" max="11" width="15.7109375" style="10" customWidth="1"/>
    <col min="12" max="12" width="16.28515625" style="10" customWidth="1"/>
    <col min="13" max="13" width="22.28515625" style="10" customWidth="1"/>
    <col min="14" max="14" width="32" style="10" customWidth="1"/>
    <col min="15" max="15" width="35.14062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90</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88</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219.75" customHeight="1" thickBot="1" x14ac:dyDescent="0.3">
      <c r="A16" s="26" t="s">
        <v>209</v>
      </c>
      <c r="B16" s="26" t="s">
        <v>210</v>
      </c>
      <c r="C16" s="26" t="s">
        <v>211</v>
      </c>
      <c r="D16" s="20">
        <v>14</v>
      </c>
      <c r="E16" s="21" t="s">
        <v>37</v>
      </c>
      <c r="F16" s="60" t="s">
        <v>212</v>
      </c>
      <c r="G16" s="155">
        <v>11</v>
      </c>
      <c r="H16" s="155">
        <v>1</v>
      </c>
      <c r="I16" s="156">
        <v>0</v>
      </c>
      <c r="J16" s="156">
        <f>+SUM(G16:I16)</f>
        <v>12</v>
      </c>
      <c r="K16" s="13">
        <f>+IFERROR(J16/D16,"-")</f>
        <v>0.8571428571428571</v>
      </c>
      <c r="L16" s="13">
        <f>+K16+128.571428571429%</f>
        <v>2.1428571428571472</v>
      </c>
      <c r="M16" s="26" t="s">
        <v>234</v>
      </c>
      <c r="N16" s="63" t="s">
        <v>235</v>
      </c>
      <c r="O16" s="60" t="s">
        <v>236</v>
      </c>
      <c r="P16" s="26"/>
    </row>
    <row r="17" spans="1:16" ht="138.75" customHeight="1" thickBot="1" x14ac:dyDescent="0.3">
      <c r="A17" s="26" t="s">
        <v>213</v>
      </c>
      <c r="B17" s="26" t="s">
        <v>214</v>
      </c>
      <c r="C17" s="26" t="s">
        <v>215</v>
      </c>
      <c r="D17" s="22">
        <v>48</v>
      </c>
      <c r="E17" s="23" t="s">
        <v>37</v>
      </c>
      <c r="F17" s="60" t="s">
        <v>216</v>
      </c>
      <c r="G17" s="155">
        <v>4</v>
      </c>
      <c r="H17" s="155">
        <v>4</v>
      </c>
      <c r="I17" s="156">
        <v>4</v>
      </c>
      <c r="J17" s="156">
        <f t="shared" ref="J17:J22" si="0">+SUM(G17:I17)</f>
        <v>12</v>
      </c>
      <c r="K17" s="13">
        <f t="shared" ref="K17:K22" si="1">+IFERROR(J17/D17,"-")</f>
        <v>0.25</v>
      </c>
      <c r="L17" s="13">
        <f>+K17+75%</f>
        <v>1</v>
      </c>
      <c r="M17" s="26" t="s">
        <v>234</v>
      </c>
      <c r="N17" s="26" t="s">
        <v>237</v>
      </c>
      <c r="O17" s="60" t="s">
        <v>238</v>
      </c>
      <c r="P17" s="26"/>
    </row>
    <row r="18" spans="1:16" ht="148.5" customHeight="1" thickBot="1" x14ac:dyDescent="0.3">
      <c r="A18" s="284" t="s">
        <v>217</v>
      </c>
      <c r="B18" s="284" t="s">
        <v>218</v>
      </c>
      <c r="C18" s="26" t="s">
        <v>219</v>
      </c>
      <c r="D18" s="24">
        <v>4</v>
      </c>
      <c r="E18" s="23" t="s">
        <v>37</v>
      </c>
      <c r="F18" s="60" t="s">
        <v>220</v>
      </c>
      <c r="G18" s="155">
        <v>0</v>
      </c>
      <c r="H18" s="155">
        <v>0</v>
      </c>
      <c r="I18" s="156">
        <v>1</v>
      </c>
      <c r="J18" s="156">
        <f t="shared" si="0"/>
        <v>1</v>
      </c>
      <c r="K18" s="13">
        <f t="shared" si="1"/>
        <v>0.25</v>
      </c>
      <c r="L18" s="13">
        <f>+K18+0%</f>
        <v>0.25</v>
      </c>
      <c r="M18" s="26" t="s">
        <v>234</v>
      </c>
      <c r="N18" s="26" t="s">
        <v>239</v>
      </c>
      <c r="O18" s="60" t="s">
        <v>240</v>
      </c>
      <c r="P18" s="26"/>
    </row>
    <row r="19" spans="1:16" ht="156" customHeight="1" thickBot="1" x14ac:dyDescent="0.3">
      <c r="A19" s="285"/>
      <c r="B19" s="285"/>
      <c r="C19" s="26" t="s">
        <v>221</v>
      </c>
      <c r="D19" s="25">
        <v>500</v>
      </c>
      <c r="E19" s="23" t="s">
        <v>37</v>
      </c>
      <c r="F19" s="60" t="s">
        <v>220</v>
      </c>
      <c r="G19" s="155">
        <v>200</v>
      </c>
      <c r="H19" s="155">
        <v>223</v>
      </c>
      <c r="I19" s="156">
        <v>228</v>
      </c>
      <c r="J19" s="156">
        <f t="shared" si="0"/>
        <v>651</v>
      </c>
      <c r="K19" s="13">
        <f t="shared" si="1"/>
        <v>1.302</v>
      </c>
      <c r="L19" s="13">
        <f>+K19+144%</f>
        <v>2.742</v>
      </c>
      <c r="M19" s="26" t="s">
        <v>234</v>
      </c>
      <c r="N19" s="26" t="s">
        <v>239</v>
      </c>
      <c r="O19" s="60" t="s">
        <v>240</v>
      </c>
      <c r="P19" s="26"/>
    </row>
    <row r="20" spans="1:16" ht="127.5" customHeight="1" thickBot="1" x14ac:dyDescent="0.3">
      <c r="A20" s="26" t="s">
        <v>222</v>
      </c>
      <c r="B20" s="26" t="s">
        <v>223</v>
      </c>
      <c r="C20" s="26" t="s">
        <v>224</v>
      </c>
      <c r="D20" s="24">
        <v>8</v>
      </c>
      <c r="E20" s="23" t="s">
        <v>60</v>
      </c>
      <c r="F20" s="61" t="s">
        <v>225</v>
      </c>
      <c r="G20" s="155">
        <v>1</v>
      </c>
      <c r="H20" s="155">
        <v>1</v>
      </c>
      <c r="I20" s="156">
        <v>1</v>
      </c>
      <c r="J20" s="156">
        <f t="shared" si="0"/>
        <v>3</v>
      </c>
      <c r="K20" s="13">
        <f t="shared" si="1"/>
        <v>0.375</v>
      </c>
      <c r="L20" s="13">
        <f>+K20+50%</f>
        <v>0.875</v>
      </c>
      <c r="M20" s="26" t="s">
        <v>234</v>
      </c>
      <c r="N20" s="64" t="s">
        <v>241</v>
      </c>
      <c r="O20" s="60" t="s">
        <v>242</v>
      </c>
      <c r="P20" s="26"/>
    </row>
    <row r="21" spans="1:16" ht="143.25" customHeight="1" thickBot="1" x14ac:dyDescent="0.3">
      <c r="A21" s="26" t="s">
        <v>226</v>
      </c>
      <c r="B21" s="26" t="s">
        <v>227</v>
      </c>
      <c r="C21" s="26" t="s">
        <v>228</v>
      </c>
      <c r="D21" s="20">
        <v>20</v>
      </c>
      <c r="E21" s="23" t="s">
        <v>60</v>
      </c>
      <c r="F21" s="61" t="s">
        <v>229</v>
      </c>
      <c r="G21" s="155">
        <v>0</v>
      </c>
      <c r="H21" s="155">
        <v>0</v>
      </c>
      <c r="I21" s="156">
        <v>0</v>
      </c>
      <c r="J21" s="156">
        <f t="shared" si="0"/>
        <v>0</v>
      </c>
      <c r="K21" s="13">
        <f t="shared" si="1"/>
        <v>0</v>
      </c>
      <c r="L21" s="13">
        <f>+K21+180%</f>
        <v>1.8</v>
      </c>
      <c r="M21" s="26" t="s">
        <v>234</v>
      </c>
      <c r="N21" s="64" t="s">
        <v>243</v>
      </c>
      <c r="O21" s="60" t="s">
        <v>244</v>
      </c>
      <c r="P21" s="26"/>
    </row>
    <row r="22" spans="1:16" ht="99.95" customHeight="1" thickBot="1" x14ac:dyDescent="0.3">
      <c r="A22" s="26" t="s">
        <v>230</v>
      </c>
      <c r="B22" s="26" t="s">
        <v>231</v>
      </c>
      <c r="C22" s="26" t="s">
        <v>232</v>
      </c>
      <c r="D22" s="62">
        <v>8900000</v>
      </c>
      <c r="E22" s="21" t="s">
        <v>60</v>
      </c>
      <c r="F22" s="60" t="s">
        <v>233</v>
      </c>
      <c r="G22" s="151">
        <v>1083075</v>
      </c>
      <c r="H22" s="151">
        <v>0</v>
      </c>
      <c r="I22" s="152">
        <v>0</v>
      </c>
      <c r="J22" s="152">
        <f t="shared" si="0"/>
        <v>1083075</v>
      </c>
      <c r="K22" s="13">
        <f t="shared" si="1"/>
        <v>0.1216938202247191</v>
      </c>
      <c r="L22" s="13">
        <f>+K22+5.33707865168539%</f>
        <v>0.17506460674157301</v>
      </c>
      <c r="M22" s="26" t="s">
        <v>234</v>
      </c>
      <c r="N22" s="64" t="s">
        <v>245</v>
      </c>
      <c r="O22" s="60" t="s">
        <v>246</v>
      </c>
      <c r="P22" s="65"/>
    </row>
    <row r="23" spans="1:16" x14ac:dyDescent="0.25">
      <c r="A23" s="14"/>
      <c r="B23" s="14"/>
      <c r="C23" s="14"/>
      <c r="D23" s="14"/>
      <c r="E23" s="14"/>
      <c r="F23" s="15"/>
      <c r="G23" s="14"/>
      <c r="H23" s="14"/>
      <c r="I23" s="14"/>
      <c r="J23" s="14"/>
      <c r="K23" s="14"/>
      <c r="L23" s="14"/>
      <c r="M23" s="15"/>
      <c r="N23" s="15"/>
      <c r="O23" s="15"/>
    </row>
    <row r="24" spans="1:16" x14ac:dyDescent="0.25">
      <c r="A24" s="14"/>
      <c r="B24" s="14"/>
      <c r="C24" s="14"/>
      <c r="D24" s="14"/>
      <c r="E24" s="14"/>
      <c r="F24" s="15"/>
      <c r="G24" s="14"/>
      <c r="H24" s="14"/>
      <c r="I24" s="14"/>
      <c r="J24" s="14"/>
      <c r="K24" s="14"/>
      <c r="L24" s="14"/>
      <c r="M24" s="15"/>
      <c r="N24" s="15"/>
      <c r="O24" s="15"/>
    </row>
    <row r="25" spans="1:16" x14ac:dyDescent="0.25">
      <c r="A25" s="14"/>
      <c r="B25" s="14"/>
      <c r="C25" s="14"/>
      <c r="D25" s="14"/>
      <c r="E25" s="14"/>
      <c r="F25" s="15"/>
      <c r="G25" s="14"/>
      <c r="H25" s="14"/>
      <c r="I25" s="14"/>
      <c r="J25" s="14"/>
      <c r="K25" s="14"/>
      <c r="L25" s="14"/>
      <c r="M25" s="15"/>
      <c r="N25" s="15"/>
      <c r="O25" s="15"/>
    </row>
    <row r="26" spans="1:16" x14ac:dyDescent="0.25">
      <c r="A26" s="14"/>
      <c r="B26" s="14"/>
      <c r="C26" s="14"/>
      <c r="D26" s="14"/>
      <c r="E26" s="14"/>
      <c r="F26" s="15"/>
      <c r="G26" s="14"/>
      <c r="H26" s="14"/>
      <c r="I26" s="14"/>
      <c r="J26" s="14"/>
      <c r="K26" s="14"/>
      <c r="L26" s="14"/>
      <c r="M26" s="15"/>
      <c r="N26" s="15"/>
      <c r="O26" s="15"/>
    </row>
    <row r="27" spans="1:16" x14ac:dyDescent="0.25">
      <c r="A27" s="15"/>
      <c r="B27" s="15"/>
      <c r="C27" s="15"/>
      <c r="D27" s="15"/>
      <c r="E27" s="15"/>
      <c r="F27" s="15"/>
      <c r="G27" s="15"/>
      <c r="H27" s="15"/>
      <c r="I27" s="15"/>
      <c r="J27" s="15"/>
      <c r="K27" s="15"/>
      <c r="L27" s="15"/>
      <c r="M27" s="15"/>
      <c r="N27" s="15"/>
      <c r="O27" s="15"/>
    </row>
    <row r="28" spans="1:16" x14ac:dyDescent="0.25">
      <c r="A28" s="15"/>
      <c r="B28" s="15"/>
      <c r="C28" s="15"/>
      <c r="D28" s="15"/>
      <c r="E28" s="15"/>
      <c r="F28" s="15"/>
      <c r="G28" s="15"/>
      <c r="H28" s="15"/>
      <c r="I28" s="15"/>
      <c r="J28" s="15"/>
      <c r="K28" s="15"/>
      <c r="L28" s="15"/>
      <c r="M28" s="15"/>
      <c r="N28" s="15"/>
      <c r="O28" s="15"/>
    </row>
    <row r="29" spans="1:16" x14ac:dyDescent="0.25">
      <c r="A29" s="15"/>
      <c r="B29" s="15"/>
      <c r="C29" s="15"/>
      <c r="D29" s="15"/>
      <c r="E29" s="15"/>
      <c r="F29" s="15"/>
      <c r="G29" s="15"/>
      <c r="H29" s="15"/>
      <c r="I29" s="15"/>
      <c r="J29" s="15"/>
      <c r="K29" s="15"/>
      <c r="L29" s="15"/>
      <c r="M29" s="15"/>
      <c r="N29" s="15"/>
      <c r="O29" s="15"/>
    </row>
    <row r="30" spans="1:16" x14ac:dyDescent="0.25">
      <c r="A30" s="15"/>
      <c r="B30" s="15"/>
      <c r="C30" s="15"/>
      <c r="D30" s="15"/>
      <c r="E30" s="15"/>
      <c r="F30" s="15"/>
      <c r="G30" s="15"/>
      <c r="H30" s="15"/>
      <c r="I30" s="15"/>
      <c r="J30" s="15"/>
      <c r="K30" s="15"/>
      <c r="L30" s="15"/>
      <c r="M30" s="15"/>
      <c r="N30" s="15"/>
      <c r="O30" s="15"/>
    </row>
    <row r="31" spans="1:16" x14ac:dyDescent="0.25">
      <c r="A31" s="15"/>
      <c r="B31" s="15"/>
      <c r="C31" s="15"/>
      <c r="D31" s="15"/>
      <c r="E31" s="15"/>
      <c r="F31" s="15"/>
      <c r="G31" s="15"/>
      <c r="H31" s="15"/>
      <c r="I31" s="15"/>
      <c r="J31" s="15"/>
      <c r="K31" s="15"/>
      <c r="L31" s="15"/>
      <c r="M31" s="15"/>
      <c r="N31" s="15"/>
      <c r="O31" s="15"/>
    </row>
    <row r="32" spans="1:16" x14ac:dyDescent="0.25">
      <c r="A32" s="15"/>
      <c r="B32" s="15"/>
      <c r="C32" s="15"/>
      <c r="D32" s="15"/>
      <c r="E32" s="15"/>
      <c r="F32" s="15"/>
      <c r="G32" s="15"/>
      <c r="H32" s="15"/>
      <c r="I32" s="15"/>
      <c r="J32" s="15"/>
      <c r="K32" s="15"/>
      <c r="L32" s="15"/>
      <c r="M32" s="15"/>
      <c r="N32" s="15"/>
      <c r="O32" s="15"/>
    </row>
    <row r="33" spans="1:12" ht="15" customHeight="1" x14ac:dyDescent="0.25">
      <c r="A33" s="277"/>
      <c r="B33" s="277"/>
      <c r="C33" s="277"/>
      <c r="D33" s="277"/>
      <c r="E33" s="277"/>
      <c r="F33" s="277"/>
      <c r="G33" s="277"/>
      <c r="H33" s="277"/>
      <c r="I33" s="277"/>
      <c r="J33" s="277"/>
      <c r="K33" s="16"/>
      <c r="L33" s="16"/>
    </row>
    <row r="34" spans="1:12" x14ac:dyDescent="0.25">
      <c r="A34" s="277"/>
      <c r="B34" s="277"/>
      <c r="C34" s="277"/>
      <c r="D34" s="277"/>
      <c r="E34" s="277"/>
      <c r="F34" s="277"/>
      <c r="G34" s="277"/>
      <c r="H34" s="277"/>
      <c r="I34" s="277"/>
      <c r="J34" s="277"/>
      <c r="K34" s="16"/>
      <c r="L34" s="16"/>
    </row>
  </sheetData>
  <mergeCells count="17">
    <mergeCell ref="A12:P13"/>
    <mergeCell ref="A6:P6"/>
    <mergeCell ref="A7:P7"/>
    <mergeCell ref="A8:P8"/>
    <mergeCell ref="A9:P9"/>
    <mergeCell ref="A10:P11"/>
    <mergeCell ref="O14:O15"/>
    <mergeCell ref="P14:P15"/>
    <mergeCell ref="A33:J34"/>
    <mergeCell ref="A18:A19"/>
    <mergeCell ref="B18:B19"/>
    <mergeCell ref="A14:A15"/>
    <mergeCell ref="B14:E14"/>
    <mergeCell ref="F14:F15"/>
    <mergeCell ref="G14:L14"/>
    <mergeCell ref="M14:M15"/>
    <mergeCell ref="N14:N15"/>
  </mergeCells>
  <printOptions horizontalCentered="1" verticalCentered="1"/>
  <pageMargins left="3.937007874015748E-2" right="3.937007874015748E-2" top="0.74803149606299213" bottom="0.74803149606299213" header="0.31496062992125984" footer="0.31496062992125984"/>
  <pageSetup scale="3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P39"/>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41.425781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28.7109375" style="10" customWidth="1"/>
    <col min="15" max="15" width="28"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91</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88</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91" t="s">
        <v>226</v>
      </c>
      <c r="B16" s="284" t="s">
        <v>247</v>
      </c>
      <c r="C16" s="26" t="s">
        <v>248</v>
      </c>
      <c r="D16" s="20">
        <v>500</v>
      </c>
      <c r="E16" s="280" t="s">
        <v>60</v>
      </c>
      <c r="F16" s="286" t="s">
        <v>249</v>
      </c>
      <c r="G16" s="155">
        <v>200</v>
      </c>
      <c r="H16" s="155">
        <v>223</v>
      </c>
      <c r="I16" s="156">
        <v>228</v>
      </c>
      <c r="J16" s="156">
        <f>+SUM(G16:I16)</f>
        <v>651</v>
      </c>
      <c r="K16" s="13">
        <f>+IFERROR(J16/D16,"-")</f>
        <v>1.302</v>
      </c>
      <c r="L16" s="13">
        <f>+K16+143.4%</f>
        <v>2.7360000000000002</v>
      </c>
      <c r="M16" s="292" t="s">
        <v>114</v>
      </c>
      <c r="N16" s="284" t="s">
        <v>265</v>
      </c>
      <c r="O16" s="286" t="s">
        <v>266</v>
      </c>
      <c r="P16" s="65"/>
    </row>
    <row r="17" spans="1:16" ht="99.95" customHeight="1" thickBot="1" x14ac:dyDescent="0.3">
      <c r="A17" s="283"/>
      <c r="B17" s="289"/>
      <c r="C17" s="164" t="s">
        <v>250</v>
      </c>
      <c r="D17" s="22">
        <v>3500</v>
      </c>
      <c r="E17" s="290"/>
      <c r="F17" s="287"/>
      <c r="G17" s="155">
        <v>195</v>
      </c>
      <c r="H17" s="155">
        <v>205</v>
      </c>
      <c r="I17" s="156">
        <v>114</v>
      </c>
      <c r="J17" s="156">
        <f t="shared" ref="J17:J27" si="0">+SUM(G17:I17)</f>
        <v>514</v>
      </c>
      <c r="K17" s="13">
        <f t="shared" ref="K17:K27" si="1">+IFERROR(J17/D17,"-")</f>
        <v>0.14685714285714285</v>
      </c>
      <c r="L17" s="13">
        <f>+K17+18.2%</f>
        <v>0.32885714285714285</v>
      </c>
      <c r="M17" s="293"/>
      <c r="N17" s="289"/>
      <c r="O17" s="287"/>
      <c r="P17" s="65"/>
    </row>
    <row r="18" spans="1:16" ht="99.95" customHeight="1" thickBot="1" x14ac:dyDescent="0.3">
      <c r="A18" s="283"/>
      <c r="B18" s="285"/>
      <c r="C18" s="26" t="s">
        <v>251</v>
      </c>
      <c r="D18" s="24">
        <v>950000</v>
      </c>
      <c r="E18" s="281"/>
      <c r="F18" s="288"/>
      <c r="G18" s="155">
        <v>380000</v>
      </c>
      <c r="H18" s="155">
        <v>423700</v>
      </c>
      <c r="I18" s="156">
        <v>433200</v>
      </c>
      <c r="J18" s="156">
        <f t="shared" si="0"/>
        <v>1236900</v>
      </c>
      <c r="K18" s="13">
        <f t="shared" si="1"/>
        <v>1.302</v>
      </c>
      <c r="L18" s="13">
        <f>+K18+143.4%</f>
        <v>2.7360000000000002</v>
      </c>
      <c r="M18" s="293"/>
      <c r="N18" s="285"/>
      <c r="O18" s="288"/>
      <c r="P18" s="65"/>
    </row>
    <row r="19" spans="1:16" ht="99.95" customHeight="1" thickBot="1" x14ac:dyDescent="0.3">
      <c r="A19" s="283"/>
      <c r="B19" s="284" t="s">
        <v>252</v>
      </c>
      <c r="C19" s="26" t="s">
        <v>253</v>
      </c>
      <c r="D19" s="25">
        <v>2760</v>
      </c>
      <c r="E19" s="280" t="s">
        <v>37</v>
      </c>
      <c r="F19" s="286" t="s">
        <v>254</v>
      </c>
      <c r="G19" s="155">
        <v>532</v>
      </c>
      <c r="H19" s="155">
        <v>510</v>
      </c>
      <c r="I19" s="156">
        <v>335</v>
      </c>
      <c r="J19" s="156">
        <f t="shared" si="0"/>
        <v>1377</v>
      </c>
      <c r="K19" s="13">
        <f t="shared" si="1"/>
        <v>0.49891304347826088</v>
      </c>
      <c r="L19" s="13">
        <f>+K19+165.289855072464%</f>
        <v>2.151811594202901</v>
      </c>
      <c r="M19" s="293"/>
      <c r="N19" s="284" t="s">
        <v>265</v>
      </c>
      <c r="O19" s="286" t="s">
        <v>267</v>
      </c>
      <c r="P19" s="65"/>
    </row>
    <row r="20" spans="1:16" ht="113.25" customHeight="1" thickBot="1" x14ac:dyDescent="0.3">
      <c r="A20" s="283"/>
      <c r="B20" s="285"/>
      <c r="C20" s="26" t="s">
        <v>251</v>
      </c>
      <c r="D20" s="24">
        <v>1435200</v>
      </c>
      <c r="E20" s="281"/>
      <c r="F20" s="288"/>
      <c r="G20" s="155">
        <v>292952</v>
      </c>
      <c r="H20" s="155">
        <v>281750</v>
      </c>
      <c r="I20" s="156">
        <v>174200</v>
      </c>
      <c r="J20" s="156">
        <f t="shared" si="0"/>
        <v>748902</v>
      </c>
      <c r="K20" s="13">
        <f t="shared" si="1"/>
        <v>0.52181020066889627</v>
      </c>
      <c r="L20" s="13">
        <f>+K20+162.551351727982%</f>
        <v>2.1473237179487161</v>
      </c>
      <c r="M20" s="294"/>
      <c r="N20" s="285"/>
      <c r="O20" s="288"/>
      <c r="P20" s="65"/>
    </row>
    <row r="21" spans="1:16" ht="99.95" customHeight="1" thickBot="1" x14ac:dyDescent="0.3">
      <c r="A21" s="283" t="s">
        <v>226</v>
      </c>
      <c r="B21" s="284" t="s">
        <v>255</v>
      </c>
      <c r="C21" s="26" t="s">
        <v>256</v>
      </c>
      <c r="D21" s="20">
        <v>4</v>
      </c>
      <c r="E21" s="280" t="s">
        <v>199</v>
      </c>
      <c r="F21" s="286" t="s">
        <v>257</v>
      </c>
      <c r="G21" s="155">
        <v>0</v>
      </c>
      <c r="H21" s="155">
        <v>0</v>
      </c>
      <c r="I21" s="156">
        <v>1</v>
      </c>
      <c r="J21" s="156">
        <f t="shared" si="0"/>
        <v>1</v>
      </c>
      <c r="K21" s="13">
        <f t="shared" si="1"/>
        <v>0.25</v>
      </c>
      <c r="L21" s="13">
        <f>+K21+25%</f>
        <v>0.5</v>
      </c>
      <c r="M21" s="292" t="s">
        <v>114</v>
      </c>
      <c r="N21" s="284" t="s">
        <v>265</v>
      </c>
      <c r="O21" s="286" t="s">
        <v>268</v>
      </c>
      <c r="P21" s="65"/>
    </row>
    <row r="22" spans="1:16" ht="99.95" customHeight="1" thickBot="1" x14ac:dyDescent="0.3">
      <c r="A22" s="283"/>
      <c r="B22" s="289"/>
      <c r="C22" s="26" t="s">
        <v>250</v>
      </c>
      <c r="D22" s="20">
        <v>48</v>
      </c>
      <c r="E22" s="290"/>
      <c r="F22" s="287"/>
      <c r="G22" s="155">
        <v>0</v>
      </c>
      <c r="H22" s="155">
        <v>0</v>
      </c>
      <c r="I22" s="156">
        <v>10</v>
      </c>
      <c r="J22" s="156">
        <f t="shared" si="0"/>
        <v>10</v>
      </c>
      <c r="K22" s="13">
        <f t="shared" si="1"/>
        <v>0.20833333333333334</v>
      </c>
      <c r="L22" s="13">
        <f>+K22+0%</f>
        <v>0.20833333333333334</v>
      </c>
      <c r="M22" s="293"/>
      <c r="N22" s="289"/>
      <c r="O22" s="287"/>
      <c r="P22" s="65"/>
    </row>
    <row r="23" spans="1:16" ht="99.95" customHeight="1" thickBot="1" x14ac:dyDescent="0.3">
      <c r="A23" s="283"/>
      <c r="B23" s="285"/>
      <c r="C23" s="26" t="s">
        <v>251</v>
      </c>
      <c r="D23" s="20">
        <v>55200</v>
      </c>
      <c r="E23" s="281"/>
      <c r="F23" s="288"/>
      <c r="G23" s="155">
        <v>0</v>
      </c>
      <c r="H23" s="155">
        <v>0</v>
      </c>
      <c r="I23" s="156">
        <v>80000</v>
      </c>
      <c r="J23" s="156">
        <f t="shared" si="0"/>
        <v>80000</v>
      </c>
      <c r="K23" s="13">
        <f t="shared" si="1"/>
        <v>1.4492753623188406</v>
      </c>
      <c r="L23" s="13">
        <f>+K23+32.6086956521739%</f>
        <v>1.7753623188405796</v>
      </c>
      <c r="M23" s="294"/>
      <c r="N23" s="285"/>
      <c r="O23" s="288"/>
      <c r="P23" s="65"/>
    </row>
    <row r="24" spans="1:16" ht="99.95" customHeight="1" thickBot="1" x14ac:dyDescent="0.3">
      <c r="A24" s="283"/>
      <c r="B24" s="284" t="s">
        <v>258</v>
      </c>
      <c r="C24" s="26" t="s">
        <v>259</v>
      </c>
      <c r="D24" s="20">
        <v>2</v>
      </c>
      <c r="E24" s="280" t="s">
        <v>199</v>
      </c>
      <c r="F24" s="286" t="s">
        <v>260</v>
      </c>
      <c r="G24" s="155">
        <v>0</v>
      </c>
      <c r="H24" s="155">
        <v>0</v>
      </c>
      <c r="I24" s="156">
        <v>0</v>
      </c>
      <c r="J24" s="156">
        <f>+IF(AND(G24&lt;&gt;"",H24="",I24=""),G24,IF(AND(G24&lt;&gt;"",H24&lt;&gt;"",I24=""),H24,IF(AND(G24&lt;&gt;"",H24&lt;&gt;"",I24&lt;&gt;""),I24,"N/D")))</f>
        <v>0</v>
      </c>
      <c r="K24" s="13">
        <f t="shared" si="1"/>
        <v>0</v>
      </c>
      <c r="L24" s="13">
        <f>+IFERROR(K24+0%,0)</f>
        <v>0</v>
      </c>
      <c r="M24" s="292" t="s">
        <v>114</v>
      </c>
      <c r="N24" s="284" t="s">
        <v>265</v>
      </c>
      <c r="O24" s="286" t="s">
        <v>269</v>
      </c>
      <c r="P24" s="65"/>
    </row>
    <row r="25" spans="1:16" ht="99.95" customHeight="1" thickBot="1" x14ac:dyDescent="0.3">
      <c r="A25" s="283"/>
      <c r="B25" s="289"/>
      <c r="C25" s="26" t="s">
        <v>250</v>
      </c>
      <c r="D25" s="20">
        <v>34</v>
      </c>
      <c r="E25" s="290"/>
      <c r="F25" s="287"/>
      <c r="G25" s="155">
        <v>0</v>
      </c>
      <c r="H25" s="155">
        <v>0</v>
      </c>
      <c r="I25" s="156">
        <v>0</v>
      </c>
      <c r="J25" s="156">
        <f>+IF(AND(G25&lt;&gt;"",H25="",I25=""),G25,IF(AND(G25&lt;&gt;"",H25&lt;&gt;"",I25=""),H25,IF(AND(G25&lt;&gt;"",H25&lt;&gt;"",I25&lt;&gt;""),I25,"N/D")))</f>
        <v>0</v>
      </c>
      <c r="K25" s="13">
        <f t="shared" si="1"/>
        <v>0</v>
      </c>
      <c r="L25" s="13">
        <f>+IFERROR(K25+0%,0)</f>
        <v>0</v>
      </c>
      <c r="M25" s="293"/>
      <c r="N25" s="289"/>
      <c r="O25" s="287"/>
      <c r="P25" s="65"/>
    </row>
    <row r="26" spans="1:16" ht="99.95" customHeight="1" thickBot="1" x14ac:dyDescent="0.3">
      <c r="A26" s="283"/>
      <c r="B26" s="285"/>
      <c r="C26" s="26" t="s">
        <v>251</v>
      </c>
      <c r="D26" s="20">
        <v>172800</v>
      </c>
      <c r="E26" s="281"/>
      <c r="F26" s="288"/>
      <c r="G26" s="155">
        <v>0</v>
      </c>
      <c r="H26" s="155">
        <v>0</v>
      </c>
      <c r="I26" s="156">
        <v>0</v>
      </c>
      <c r="J26" s="156">
        <f t="shared" si="0"/>
        <v>0</v>
      </c>
      <c r="K26" s="13">
        <f t="shared" si="1"/>
        <v>0</v>
      </c>
      <c r="L26" s="13">
        <f>+K26+0%</f>
        <v>0</v>
      </c>
      <c r="M26" s="293"/>
      <c r="N26" s="285"/>
      <c r="O26" s="288"/>
      <c r="P26" s="65"/>
    </row>
    <row r="27" spans="1:16" ht="264" customHeight="1" thickBot="1" x14ac:dyDescent="0.3">
      <c r="A27" s="26" t="s">
        <v>261</v>
      </c>
      <c r="B27" s="26" t="s">
        <v>262</v>
      </c>
      <c r="C27" s="26" t="s">
        <v>263</v>
      </c>
      <c r="D27" s="20">
        <v>2</v>
      </c>
      <c r="E27" s="21" t="s">
        <v>37</v>
      </c>
      <c r="F27" s="60" t="s">
        <v>264</v>
      </c>
      <c r="G27" s="155">
        <v>0</v>
      </c>
      <c r="H27" s="155">
        <v>0</v>
      </c>
      <c r="I27" s="156">
        <v>0</v>
      </c>
      <c r="J27" s="156">
        <f t="shared" si="0"/>
        <v>0</v>
      </c>
      <c r="K27" s="13">
        <f t="shared" si="1"/>
        <v>0</v>
      </c>
      <c r="L27" s="13">
        <f>+K27+50%</f>
        <v>0.5</v>
      </c>
      <c r="M27" s="295"/>
      <c r="N27" s="64" t="s">
        <v>270</v>
      </c>
      <c r="O27" s="61" t="s">
        <v>271</v>
      </c>
      <c r="P27" s="65"/>
    </row>
    <row r="28" spans="1:16" x14ac:dyDescent="0.25">
      <c r="A28" s="14"/>
      <c r="B28" s="14"/>
      <c r="C28" s="14"/>
      <c r="D28" s="14"/>
      <c r="E28" s="14"/>
      <c r="F28" s="15"/>
      <c r="G28" s="14"/>
      <c r="H28" s="14"/>
      <c r="I28" s="14"/>
      <c r="J28" s="14"/>
      <c r="K28" s="14"/>
      <c r="L28" s="14"/>
      <c r="M28" s="15"/>
      <c r="N28" s="15"/>
      <c r="O28" s="15"/>
    </row>
    <row r="29" spans="1:16" x14ac:dyDescent="0.25">
      <c r="A29" s="14"/>
      <c r="B29" s="14"/>
      <c r="C29" s="14"/>
      <c r="D29" s="14"/>
      <c r="E29" s="14"/>
      <c r="F29" s="15"/>
      <c r="G29" s="14"/>
      <c r="H29" s="14"/>
      <c r="I29" s="14"/>
      <c r="J29" s="14"/>
      <c r="K29" s="14"/>
      <c r="L29" s="14"/>
      <c r="M29" s="15"/>
      <c r="N29" s="15"/>
      <c r="O29" s="15"/>
    </row>
    <row r="30" spans="1:16" x14ac:dyDescent="0.25">
      <c r="A30" s="14"/>
      <c r="B30" s="14"/>
      <c r="C30" s="14"/>
      <c r="D30" s="14"/>
      <c r="E30" s="14"/>
      <c r="F30" s="15"/>
      <c r="G30" s="14"/>
      <c r="H30" s="14"/>
      <c r="I30" s="14"/>
      <c r="J30" s="14"/>
      <c r="K30" s="14"/>
      <c r="L30" s="14"/>
      <c r="M30" s="15"/>
      <c r="N30" s="15"/>
      <c r="O30" s="15"/>
    </row>
    <row r="31" spans="1:16" x14ac:dyDescent="0.25">
      <c r="A31" s="14"/>
      <c r="B31" s="14"/>
      <c r="C31" s="14"/>
      <c r="D31" s="14"/>
      <c r="E31" s="14"/>
      <c r="F31" s="15"/>
      <c r="G31" s="14"/>
      <c r="H31" s="14"/>
      <c r="I31" s="14"/>
      <c r="J31" s="14"/>
      <c r="K31" s="14"/>
      <c r="L31" s="14"/>
      <c r="M31" s="15"/>
      <c r="N31" s="15"/>
      <c r="O31" s="15"/>
    </row>
    <row r="32" spans="1:16" x14ac:dyDescent="0.25">
      <c r="A32" s="15"/>
      <c r="B32" s="15"/>
      <c r="C32" s="15"/>
      <c r="D32" s="15"/>
      <c r="E32" s="15"/>
      <c r="F32" s="15"/>
      <c r="G32" s="15"/>
      <c r="H32" s="15"/>
      <c r="I32" s="15"/>
      <c r="J32" s="15"/>
      <c r="K32" s="15"/>
      <c r="L32" s="15"/>
      <c r="M32" s="15"/>
      <c r="N32" s="15"/>
      <c r="O32" s="15"/>
    </row>
    <row r="33" spans="1:15" x14ac:dyDescent="0.25">
      <c r="A33" s="15"/>
      <c r="B33" s="15"/>
      <c r="C33" s="15"/>
      <c r="D33" s="15"/>
      <c r="E33" s="15"/>
      <c r="F33" s="15"/>
      <c r="G33" s="15"/>
      <c r="H33" s="15"/>
      <c r="I33" s="15"/>
      <c r="J33" s="15"/>
      <c r="K33" s="15"/>
      <c r="L33" s="15"/>
      <c r="M33" s="15"/>
      <c r="N33" s="15"/>
      <c r="O33" s="15"/>
    </row>
    <row r="34" spans="1:15" x14ac:dyDescent="0.25">
      <c r="A34" s="15"/>
      <c r="B34" s="15"/>
      <c r="C34" s="15"/>
      <c r="D34" s="15"/>
      <c r="E34" s="15"/>
      <c r="F34" s="15"/>
      <c r="G34" s="15"/>
      <c r="H34" s="15"/>
      <c r="I34" s="15"/>
      <c r="J34" s="15"/>
      <c r="K34" s="15"/>
      <c r="L34" s="15"/>
      <c r="M34" s="15"/>
      <c r="N34" s="15"/>
      <c r="O34" s="15"/>
    </row>
    <row r="35" spans="1:15" x14ac:dyDescent="0.25">
      <c r="A35" s="15"/>
      <c r="B35" s="15"/>
      <c r="C35" s="15"/>
      <c r="D35" s="15"/>
      <c r="E35" s="15"/>
      <c r="F35" s="15"/>
      <c r="G35" s="15"/>
      <c r="H35" s="15"/>
      <c r="I35" s="15"/>
      <c r="J35" s="15"/>
      <c r="K35" s="15"/>
      <c r="L35" s="15"/>
      <c r="M35" s="15"/>
      <c r="N35" s="15"/>
      <c r="O35" s="15"/>
    </row>
    <row r="36" spans="1:15" x14ac:dyDescent="0.25">
      <c r="A36" s="15"/>
      <c r="B36" s="15"/>
      <c r="C36" s="15"/>
      <c r="D36" s="15"/>
      <c r="E36" s="15"/>
      <c r="F36" s="15"/>
      <c r="G36" s="15"/>
      <c r="H36" s="15"/>
      <c r="I36" s="15"/>
      <c r="J36" s="15"/>
      <c r="K36" s="15"/>
      <c r="L36" s="15"/>
      <c r="M36" s="15"/>
      <c r="N36" s="15"/>
      <c r="O36" s="15"/>
    </row>
    <row r="37" spans="1:15" x14ac:dyDescent="0.25">
      <c r="A37" s="15"/>
      <c r="B37" s="15"/>
      <c r="C37" s="15"/>
      <c r="D37" s="15"/>
      <c r="E37" s="15"/>
      <c r="F37" s="15"/>
      <c r="G37" s="15"/>
      <c r="H37" s="15"/>
      <c r="I37" s="15"/>
      <c r="J37" s="15"/>
      <c r="K37" s="15"/>
      <c r="L37" s="15"/>
      <c r="M37" s="15"/>
      <c r="N37" s="15"/>
      <c r="O37" s="15"/>
    </row>
    <row r="38" spans="1:15" ht="15" customHeight="1" x14ac:dyDescent="0.25">
      <c r="A38" s="277"/>
      <c r="B38" s="277"/>
      <c r="C38" s="277"/>
      <c r="D38" s="277"/>
      <c r="E38" s="277"/>
      <c r="F38" s="277"/>
      <c r="G38" s="277"/>
      <c r="H38" s="277"/>
      <c r="I38" s="277"/>
      <c r="J38" s="277"/>
      <c r="K38" s="16"/>
      <c r="L38" s="16"/>
    </row>
    <row r="39" spans="1:15" x14ac:dyDescent="0.25">
      <c r="A39" s="277"/>
      <c r="B39" s="277"/>
      <c r="C39" s="277"/>
      <c r="D39" s="277"/>
      <c r="E39" s="277"/>
      <c r="F39" s="277"/>
      <c r="G39" s="277"/>
      <c r="H39" s="277"/>
      <c r="I39" s="277"/>
      <c r="J39" s="277"/>
      <c r="K39" s="16"/>
      <c r="L39" s="16"/>
    </row>
  </sheetData>
  <mergeCells count="40">
    <mergeCell ref="M21:M23"/>
    <mergeCell ref="M24:M27"/>
    <mergeCell ref="A12:P13"/>
    <mergeCell ref="O14:O15"/>
    <mergeCell ref="P14:P15"/>
    <mergeCell ref="A14:A15"/>
    <mergeCell ref="B14:E14"/>
    <mergeCell ref="F14:F15"/>
    <mergeCell ref="G14:L14"/>
    <mergeCell ref="N21:N23"/>
    <mergeCell ref="N24:N26"/>
    <mergeCell ref="O21:O23"/>
    <mergeCell ref="M14:M15"/>
    <mergeCell ref="N14:N15"/>
    <mergeCell ref="N16:N18"/>
    <mergeCell ref="O16:O18"/>
    <mergeCell ref="N19:N20"/>
    <mergeCell ref="A6:P6"/>
    <mergeCell ref="A7:P7"/>
    <mergeCell ref="A8:P8"/>
    <mergeCell ref="A9:P9"/>
    <mergeCell ref="A10:P11"/>
    <mergeCell ref="O19:O20"/>
    <mergeCell ref="M16:M20"/>
    <mergeCell ref="O24:O26"/>
    <mergeCell ref="A38:J39"/>
    <mergeCell ref="B16:B18"/>
    <mergeCell ref="E16:E18"/>
    <mergeCell ref="F16:F18"/>
    <mergeCell ref="B19:B20"/>
    <mergeCell ref="E19:E20"/>
    <mergeCell ref="F19:F20"/>
    <mergeCell ref="B21:B23"/>
    <mergeCell ref="E21:E23"/>
    <mergeCell ref="F21:F23"/>
    <mergeCell ref="B24:B26"/>
    <mergeCell ref="E24:E26"/>
    <mergeCell ref="F24:F26"/>
    <mergeCell ref="A16:A20"/>
    <mergeCell ref="A21:A26"/>
  </mergeCells>
  <printOptions horizontalCentered="1" verticalCentered="1"/>
  <pageMargins left="3.937007874015748E-2" right="3.937007874015748E-2" top="0.35433070866141736" bottom="0.39370078740157483" header="0.31496062992125984" footer="0.23622047244094491"/>
  <pageSetup scale="35" fitToHeight="0" orientation="landscape" r:id="rId1"/>
  <rowBreaks count="1" manualBreakCount="1">
    <brk id="20" max="15" man="1"/>
  </rowBreaks>
  <ignoredErrors>
    <ignoredError sqref="L1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P42"/>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52.4257812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92</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88</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112.5" customHeight="1" thickBot="1" x14ac:dyDescent="0.3">
      <c r="A16" s="296" t="s">
        <v>272</v>
      </c>
      <c r="B16" s="66" t="s">
        <v>273</v>
      </c>
      <c r="C16" s="66" t="s">
        <v>274</v>
      </c>
      <c r="D16" s="20">
        <v>2</v>
      </c>
      <c r="E16" s="67" t="s">
        <v>37</v>
      </c>
      <c r="F16" s="68" t="s">
        <v>275</v>
      </c>
      <c r="G16" s="155">
        <v>0</v>
      </c>
      <c r="H16" s="155">
        <v>1</v>
      </c>
      <c r="I16" s="155">
        <v>0</v>
      </c>
      <c r="J16" s="156">
        <f>+SUM(G16:I16)</f>
        <v>1</v>
      </c>
      <c r="K16" s="13">
        <f>+IFERROR(J16/D16,"-")</f>
        <v>0.5</v>
      </c>
      <c r="L16" s="13">
        <f>+K16+150%</f>
        <v>2</v>
      </c>
      <c r="M16" s="66" t="s">
        <v>81</v>
      </c>
      <c r="N16" s="75" t="s">
        <v>324</v>
      </c>
      <c r="O16" s="68" t="s">
        <v>325</v>
      </c>
      <c r="P16" s="76" t="s">
        <v>326</v>
      </c>
    </row>
    <row r="17" spans="1:16" ht="126" customHeight="1" thickBot="1" x14ac:dyDescent="0.3">
      <c r="A17" s="296"/>
      <c r="B17" s="66" t="s">
        <v>276</v>
      </c>
      <c r="C17" s="66" t="s">
        <v>277</v>
      </c>
      <c r="D17" s="22">
        <v>24</v>
      </c>
      <c r="E17" s="67" t="s">
        <v>37</v>
      </c>
      <c r="F17" s="68" t="s">
        <v>278</v>
      </c>
      <c r="G17" s="155">
        <v>1</v>
      </c>
      <c r="H17" s="155">
        <v>2</v>
      </c>
      <c r="I17" s="155">
        <v>0</v>
      </c>
      <c r="J17" s="156">
        <f t="shared" ref="J17:J30" si="0">+SUM(G17:I17)</f>
        <v>3</v>
      </c>
      <c r="K17" s="13">
        <f t="shared" ref="K17:K30" si="1">+IFERROR(J17/D17,"-")</f>
        <v>0.125</v>
      </c>
      <c r="L17" s="13">
        <f>+K17+50%</f>
        <v>0.625</v>
      </c>
      <c r="M17" s="66" t="s">
        <v>81</v>
      </c>
      <c r="N17" s="75" t="s">
        <v>324</v>
      </c>
      <c r="O17" s="77" t="s">
        <v>327</v>
      </c>
      <c r="P17" s="76" t="s">
        <v>328</v>
      </c>
    </row>
    <row r="18" spans="1:16" ht="99.95" customHeight="1" thickBot="1" x14ac:dyDescent="0.3">
      <c r="A18" s="296" t="s">
        <v>279</v>
      </c>
      <c r="B18" s="66" t="s">
        <v>280</v>
      </c>
      <c r="C18" s="66" t="s">
        <v>281</v>
      </c>
      <c r="D18" s="24">
        <v>36</v>
      </c>
      <c r="E18" s="67" t="s">
        <v>37</v>
      </c>
      <c r="F18" s="68" t="s">
        <v>282</v>
      </c>
      <c r="G18" s="155">
        <v>6</v>
      </c>
      <c r="H18" s="155">
        <v>4</v>
      </c>
      <c r="I18" s="155">
        <v>4</v>
      </c>
      <c r="J18" s="156">
        <f t="shared" si="0"/>
        <v>14</v>
      </c>
      <c r="K18" s="13">
        <f t="shared" si="1"/>
        <v>0.3888888888888889</v>
      </c>
      <c r="L18" s="13">
        <f>+K18+88.8888888888889%</f>
        <v>1.2777777777777779</v>
      </c>
      <c r="M18" s="66" t="s">
        <v>81</v>
      </c>
      <c r="N18" s="66" t="s">
        <v>329</v>
      </c>
      <c r="O18" s="77" t="s">
        <v>330</v>
      </c>
      <c r="P18" s="76"/>
    </row>
    <row r="19" spans="1:16" ht="99.95" customHeight="1" thickBot="1" x14ac:dyDescent="0.3">
      <c r="A19" s="296"/>
      <c r="B19" s="66" t="s">
        <v>283</v>
      </c>
      <c r="C19" s="66" t="s">
        <v>284</v>
      </c>
      <c r="D19" s="25">
        <v>12</v>
      </c>
      <c r="E19" s="67" t="s">
        <v>37</v>
      </c>
      <c r="F19" s="68" t="s">
        <v>285</v>
      </c>
      <c r="G19" s="155">
        <v>4</v>
      </c>
      <c r="H19" s="155">
        <v>4</v>
      </c>
      <c r="I19" s="155">
        <v>3</v>
      </c>
      <c r="J19" s="156">
        <f t="shared" si="0"/>
        <v>11</v>
      </c>
      <c r="K19" s="13">
        <f t="shared" si="1"/>
        <v>0.91666666666666663</v>
      </c>
      <c r="L19" s="13">
        <f>+K19+216.666666666666%</f>
        <v>3.0833333333333264</v>
      </c>
      <c r="M19" s="66" t="s">
        <v>81</v>
      </c>
      <c r="N19" s="66" t="s">
        <v>331</v>
      </c>
      <c r="O19" s="77" t="s">
        <v>332</v>
      </c>
      <c r="P19" s="76" t="s">
        <v>328</v>
      </c>
    </row>
    <row r="20" spans="1:16" ht="213" customHeight="1" thickBot="1" x14ac:dyDescent="0.3">
      <c r="A20" s="66" t="s">
        <v>286</v>
      </c>
      <c r="B20" s="66" t="s">
        <v>287</v>
      </c>
      <c r="C20" s="66" t="s">
        <v>288</v>
      </c>
      <c r="D20" s="24">
        <v>4</v>
      </c>
      <c r="E20" s="69" t="s">
        <v>37</v>
      </c>
      <c r="F20" s="68" t="s">
        <v>289</v>
      </c>
      <c r="G20" s="155">
        <v>0</v>
      </c>
      <c r="H20" s="155">
        <v>0</v>
      </c>
      <c r="I20" s="155">
        <v>1</v>
      </c>
      <c r="J20" s="156">
        <f t="shared" si="0"/>
        <v>1</v>
      </c>
      <c r="K20" s="13">
        <f t="shared" si="1"/>
        <v>0.25</v>
      </c>
      <c r="L20" s="13">
        <f>+K20+25%</f>
        <v>0.5</v>
      </c>
      <c r="M20" s="66" t="s">
        <v>333</v>
      </c>
      <c r="N20" s="78" t="s">
        <v>334</v>
      </c>
      <c r="O20" s="77" t="s">
        <v>335</v>
      </c>
      <c r="P20" s="76"/>
    </row>
    <row r="21" spans="1:16" ht="156" customHeight="1" thickBot="1" x14ac:dyDescent="0.3">
      <c r="A21" s="66" t="s">
        <v>290</v>
      </c>
      <c r="B21" s="66" t="s">
        <v>291</v>
      </c>
      <c r="C21" s="66" t="s">
        <v>292</v>
      </c>
      <c r="D21" s="20">
        <v>2</v>
      </c>
      <c r="E21" s="69" t="s">
        <v>199</v>
      </c>
      <c r="F21" s="68" t="s">
        <v>293</v>
      </c>
      <c r="G21" s="155">
        <v>0</v>
      </c>
      <c r="H21" s="155">
        <v>0</v>
      </c>
      <c r="I21" s="155">
        <v>0</v>
      </c>
      <c r="J21" s="156">
        <f t="shared" si="0"/>
        <v>0</v>
      </c>
      <c r="K21" s="13">
        <f t="shared" si="1"/>
        <v>0</v>
      </c>
      <c r="L21" s="13">
        <f>+K21+0%</f>
        <v>0</v>
      </c>
      <c r="M21" s="66" t="s">
        <v>333</v>
      </c>
      <c r="N21" s="78" t="s">
        <v>336</v>
      </c>
      <c r="O21" s="77" t="s">
        <v>337</v>
      </c>
      <c r="P21" s="76"/>
    </row>
    <row r="22" spans="1:16" ht="201.75" customHeight="1" thickBot="1" x14ac:dyDescent="0.3">
      <c r="A22" s="66" t="s">
        <v>294</v>
      </c>
      <c r="B22" s="66" t="s">
        <v>295</v>
      </c>
      <c r="C22" s="66" t="s">
        <v>296</v>
      </c>
      <c r="D22" s="20">
        <v>12</v>
      </c>
      <c r="E22" s="69" t="s">
        <v>60</v>
      </c>
      <c r="F22" s="68" t="s">
        <v>297</v>
      </c>
      <c r="G22" s="155">
        <v>0</v>
      </c>
      <c r="H22" s="155">
        <v>0</v>
      </c>
      <c r="I22" s="155">
        <v>3</v>
      </c>
      <c r="J22" s="156">
        <f t="shared" si="0"/>
        <v>3</v>
      </c>
      <c r="K22" s="13">
        <f t="shared" si="1"/>
        <v>0.25</v>
      </c>
      <c r="L22" s="13">
        <f>+K22+50%</f>
        <v>0.75</v>
      </c>
      <c r="M22" s="66" t="s">
        <v>333</v>
      </c>
      <c r="N22" s="78" t="s">
        <v>338</v>
      </c>
      <c r="O22" s="77" t="s">
        <v>339</v>
      </c>
      <c r="P22" s="76"/>
    </row>
    <row r="23" spans="1:16" ht="99.95" customHeight="1" thickBot="1" x14ac:dyDescent="0.3">
      <c r="A23" s="66" t="s">
        <v>298</v>
      </c>
      <c r="B23" s="66" t="s">
        <v>299</v>
      </c>
      <c r="C23" s="66" t="s">
        <v>300</v>
      </c>
      <c r="D23" s="20">
        <v>1</v>
      </c>
      <c r="E23" s="69" t="s">
        <v>60</v>
      </c>
      <c r="F23" s="68" t="s">
        <v>301</v>
      </c>
      <c r="G23" s="155">
        <v>0</v>
      </c>
      <c r="H23" s="155">
        <v>0</v>
      </c>
      <c r="I23" s="155">
        <v>0</v>
      </c>
      <c r="J23" s="156">
        <f t="shared" si="0"/>
        <v>0</v>
      </c>
      <c r="K23" s="13">
        <f t="shared" si="1"/>
        <v>0</v>
      </c>
      <c r="L23" s="13">
        <f>+K23+0%</f>
        <v>0</v>
      </c>
      <c r="M23" s="66" t="s">
        <v>333</v>
      </c>
      <c r="N23" s="78" t="s">
        <v>340</v>
      </c>
      <c r="O23" s="77" t="s">
        <v>341</v>
      </c>
      <c r="P23" s="76"/>
    </row>
    <row r="24" spans="1:16" ht="99.95" customHeight="1" thickBot="1" x14ac:dyDescent="0.3">
      <c r="A24" s="66" t="s">
        <v>302</v>
      </c>
      <c r="B24" s="66" t="s">
        <v>303</v>
      </c>
      <c r="C24" s="70" t="s">
        <v>304</v>
      </c>
      <c r="D24" s="20">
        <v>1</v>
      </c>
      <c r="E24" s="71" t="s">
        <v>37</v>
      </c>
      <c r="F24" s="68" t="s">
        <v>305</v>
      </c>
      <c r="G24" s="155">
        <v>0</v>
      </c>
      <c r="H24" s="155">
        <v>0</v>
      </c>
      <c r="I24" s="155">
        <v>0</v>
      </c>
      <c r="J24" s="156">
        <f t="shared" si="0"/>
        <v>0</v>
      </c>
      <c r="K24" s="13">
        <f t="shared" si="1"/>
        <v>0</v>
      </c>
      <c r="L24" s="13">
        <f>+K24+100%</f>
        <v>1</v>
      </c>
      <c r="M24" s="66" t="s">
        <v>342</v>
      </c>
      <c r="N24" s="66" t="s">
        <v>67</v>
      </c>
      <c r="O24" s="68" t="s">
        <v>343</v>
      </c>
      <c r="P24" s="76"/>
    </row>
    <row r="25" spans="1:16" ht="114.75" customHeight="1" thickBot="1" x14ac:dyDescent="0.3">
      <c r="A25" s="66" t="s">
        <v>306</v>
      </c>
      <c r="B25" s="66" t="s">
        <v>307</v>
      </c>
      <c r="C25" s="70" t="s">
        <v>304</v>
      </c>
      <c r="D25" s="20">
        <v>1</v>
      </c>
      <c r="E25" s="71" t="s">
        <v>37</v>
      </c>
      <c r="F25" s="68" t="s">
        <v>308</v>
      </c>
      <c r="G25" s="155">
        <v>0</v>
      </c>
      <c r="H25" s="155">
        <v>0</v>
      </c>
      <c r="I25" s="155">
        <v>0</v>
      </c>
      <c r="J25" s="156">
        <f t="shared" si="0"/>
        <v>0</v>
      </c>
      <c r="K25" s="13">
        <f t="shared" si="1"/>
        <v>0</v>
      </c>
      <c r="L25" s="13">
        <f>+K25+0%</f>
        <v>0</v>
      </c>
      <c r="M25" s="66" t="s">
        <v>342</v>
      </c>
      <c r="N25" s="78" t="s">
        <v>344</v>
      </c>
      <c r="O25" s="68" t="s">
        <v>345</v>
      </c>
      <c r="P25" s="76"/>
    </row>
    <row r="26" spans="1:16" ht="99.95" customHeight="1" thickBot="1" x14ac:dyDescent="0.3">
      <c r="A26" s="66" t="s">
        <v>309</v>
      </c>
      <c r="B26" s="66" t="s">
        <v>310</v>
      </c>
      <c r="C26" s="70" t="s">
        <v>304</v>
      </c>
      <c r="D26" s="20">
        <v>1</v>
      </c>
      <c r="E26" s="71" t="s">
        <v>37</v>
      </c>
      <c r="F26" s="68" t="s">
        <v>311</v>
      </c>
      <c r="G26" s="155">
        <v>0</v>
      </c>
      <c r="H26" s="155">
        <v>0</v>
      </c>
      <c r="I26" s="155">
        <v>0</v>
      </c>
      <c r="J26" s="156">
        <f t="shared" si="0"/>
        <v>0</v>
      </c>
      <c r="K26" s="13">
        <f t="shared" si="1"/>
        <v>0</v>
      </c>
      <c r="L26" s="13">
        <f>+K26+100%</f>
        <v>1</v>
      </c>
      <c r="M26" s="66" t="s">
        <v>342</v>
      </c>
      <c r="N26" s="78" t="s">
        <v>346</v>
      </c>
      <c r="O26" s="68" t="s">
        <v>347</v>
      </c>
      <c r="P26" s="76"/>
    </row>
    <row r="27" spans="1:16" ht="99.95" customHeight="1" thickBot="1" x14ac:dyDescent="0.3">
      <c r="A27" s="66" t="s">
        <v>312</v>
      </c>
      <c r="B27" s="66" t="s">
        <v>313</v>
      </c>
      <c r="C27" s="70" t="s">
        <v>304</v>
      </c>
      <c r="D27" s="20">
        <v>1</v>
      </c>
      <c r="E27" s="71" t="s">
        <v>37</v>
      </c>
      <c r="F27" s="68" t="s">
        <v>314</v>
      </c>
      <c r="G27" s="155">
        <v>0</v>
      </c>
      <c r="H27" s="155">
        <v>0</v>
      </c>
      <c r="I27" s="155">
        <v>0</v>
      </c>
      <c r="J27" s="156">
        <f t="shared" si="0"/>
        <v>0</v>
      </c>
      <c r="K27" s="13">
        <f t="shared" si="1"/>
        <v>0</v>
      </c>
      <c r="L27" s="13">
        <f>+K27+0%</f>
        <v>0</v>
      </c>
      <c r="M27" s="66" t="s">
        <v>342</v>
      </c>
      <c r="N27" s="66" t="s">
        <v>348</v>
      </c>
      <c r="O27" s="68" t="s">
        <v>349</v>
      </c>
      <c r="P27" s="76"/>
    </row>
    <row r="28" spans="1:16" ht="99.95" customHeight="1" thickBot="1" x14ac:dyDescent="0.3">
      <c r="A28" s="72" t="s">
        <v>315</v>
      </c>
      <c r="B28" s="72" t="s">
        <v>316</v>
      </c>
      <c r="C28" s="73" t="s">
        <v>304</v>
      </c>
      <c r="D28" s="20">
        <v>1</v>
      </c>
      <c r="E28" s="71" t="s">
        <v>37</v>
      </c>
      <c r="F28" s="74" t="s">
        <v>317</v>
      </c>
      <c r="G28" s="155">
        <v>0</v>
      </c>
      <c r="H28" s="155">
        <v>0</v>
      </c>
      <c r="I28" s="155">
        <v>0</v>
      </c>
      <c r="J28" s="156">
        <f t="shared" si="0"/>
        <v>0</v>
      </c>
      <c r="K28" s="13">
        <f t="shared" si="1"/>
        <v>0</v>
      </c>
      <c r="L28" s="13">
        <f>+K28+100%</f>
        <v>1</v>
      </c>
      <c r="M28" s="66" t="s">
        <v>342</v>
      </c>
      <c r="N28" s="72" t="s">
        <v>234</v>
      </c>
      <c r="O28" s="74" t="s">
        <v>350</v>
      </c>
      <c r="P28" s="76"/>
    </row>
    <row r="29" spans="1:16" ht="99.95" customHeight="1" thickBot="1" x14ac:dyDescent="0.3">
      <c r="A29" s="72" t="s">
        <v>318</v>
      </c>
      <c r="B29" s="72" t="s">
        <v>319</v>
      </c>
      <c r="C29" s="73" t="s">
        <v>304</v>
      </c>
      <c r="D29" s="20">
        <v>1</v>
      </c>
      <c r="E29" s="71" t="s">
        <v>37</v>
      </c>
      <c r="F29" s="74" t="s">
        <v>320</v>
      </c>
      <c r="G29" s="155">
        <v>0</v>
      </c>
      <c r="H29" s="155">
        <v>0</v>
      </c>
      <c r="I29" s="155">
        <v>0</v>
      </c>
      <c r="J29" s="156">
        <f t="shared" si="0"/>
        <v>0</v>
      </c>
      <c r="K29" s="13">
        <f t="shared" si="1"/>
        <v>0</v>
      </c>
      <c r="L29" s="13">
        <f>+K29+100%</f>
        <v>1</v>
      </c>
      <c r="M29" s="66" t="s">
        <v>342</v>
      </c>
      <c r="N29" s="78" t="s">
        <v>351</v>
      </c>
      <c r="O29" s="74" t="s">
        <v>352</v>
      </c>
      <c r="P29" s="76"/>
    </row>
    <row r="30" spans="1:16" ht="139.5" customHeight="1" thickBot="1" x14ac:dyDescent="0.3">
      <c r="A30" s="72" t="s">
        <v>321</v>
      </c>
      <c r="B30" s="72" t="s">
        <v>322</v>
      </c>
      <c r="C30" s="73" t="s">
        <v>304</v>
      </c>
      <c r="D30" s="20">
        <v>1</v>
      </c>
      <c r="E30" s="71" t="s">
        <v>37</v>
      </c>
      <c r="F30" s="74" t="s">
        <v>323</v>
      </c>
      <c r="G30" s="155">
        <v>0</v>
      </c>
      <c r="H30" s="155">
        <v>0</v>
      </c>
      <c r="I30" s="155">
        <v>0</v>
      </c>
      <c r="J30" s="156">
        <f t="shared" si="0"/>
        <v>0</v>
      </c>
      <c r="K30" s="13">
        <f t="shared" si="1"/>
        <v>0</v>
      </c>
      <c r="L30" s="13">
        <f>+K30+100%</f>
        <v>1</v>
      </c>
      <c r="M30" s="66" t="s">
        <v>342</v>
      </c>
      <c r="N30" s="79" t="s">
        <v>353</v>
      </c>
      <c r="O30" s="74" t="s">
        <v>354</v>
      </c>
      <c r="P30" s="76"/>
    </row>
    <row r="31" spans="1:16" x14ac:dyDescent="0.25">
      <c r="A31" s="14"/>
      <c r="B31" s="14"/>
      <c r="C31" s="14"/>
      <c r="D31" s="14"/>
      <c r="E31" s="14"/>
      <c r="F31" s="15"/>
      <c r="G31" s="14"/>
      <c r="H31" s="14"/>
      <c r="I31" s="14"/>
      <c r="J31" s="14"/>
      <c r="K31" s="14"/>
      <c r="L31" s="14"/>
      <c r="M31" s="15"/>
      <c r="N31" s="15"/>
      <c r="O31" s="15"/>
    </row>
    <row r="32" spans="1:16" x14ac:dyDescent="0.25">
      <c r="A32" s="14"/>
      <c r="B32" s="14"/>
      <c r="C32" s="14"/>
      <c r="D32" s="14"/>
      <c r="E32" s="14"/>
      <c r="F32" s="15"/>
      <c r="G32" s="14"/>
      <c r="H32" s="14"/>
      <c r="I32" s="14"/>
      <c r="J32" s="14"/>
      <c r="K32" s="14"/>
      <c r="L32" s="14"/>
      <c r="M32" s="15"/>
      <c r="N32" s="15"/>
      <c r="O32" s="15"/>
    </row>
    <row r="33" spans="1:15" x14ac:dyDescent="0.25">
      <c r="A33" s="14"/>
      <c r="B33" s="14"/>
      <c r="C33" s="14"/>
      <c r="D33" s="14"/>
      <c r="E33" s="14"/>
      <c r="F33" s="15"/>
      <c r="G33" s="14"/>
      <c r="H33" s="14"/>
      <c r="I33" s="14"/>
      <c r="J33" s="14"/>
      <c r="K33" s="14"/>
      <c r="L33" s="14"/>
      <c r="M33" s="15"/>
      <c r="N33" s="15"/>
      <c r="O33" s="15"/>
    </row>
    <row r="34" spans="1:15" x14ac:dyDescent="0.25">
      <c r="A34" s="14"/>
      <c r="B34" s="14"/>
      <c r="C34" s="14"/>
      <c r="D34" s="14"/>
      <c r="E34" s="14"/>
      <c r="F34" s="15"/>
      <c r="G34" s="14"/>
      <c r="H34" s="14"/>
      <c r="I34" s="14"/>
      <c r="J34" s="14"/>
      <c r="K34" s="14"/>
      <c r="L34" s="14"/>
      <c r="M34" s="15"/>
      <c r="N34" s="15"/>
      <c r="O34" s="15"/>
    </row>
    <row r="35" spans="1:15" x14ac:dyDescent="0.25">
      <c r="A35" s="15"/>
      <c r="B35" s="15"/>
      <c r="C35" s="15"/>
      <c r="D35" s="15"/>
      <c r="E35" s="15"/>
      <c r="F35" s="15"/>
      <c r="G35" s="15"/>
      <c r="H35" s="15"/>
      <c r="I35" s="15"/>
      <c r="J35" s="15"/>
      <c r="K35" s="15"/>
      <c r="L35" s="15"/>
      <c r="M35" s="15"/>
      <c r="N35" s="15"/>
      <c r="O35" s="15"/>
    </row>
    <row r="36" spans="1:15" x14ac:dyDescent="0.25">
      <c r="A36" s="15"/>
      <c r="B36" s="15"/>
      <c r="C36" s="15"/>
      <c r="D36" s="15"/>
      <c r="E36" s="15"/>
      <c r="F36" s="15"/>
      <c r="G36" s="15"/>
      <c r="H36" s="15"/>
      <c r="I36" s="15"/>
      <c r="J36" s="15"/>
      <c r="K36" s="15"/>
      <c r="L36" s="15"/>
      <c r="M36" s="15"/>
      <c r="N36" s="15"/>
      <c r="O36" s="15"/>
    </row>
    <row r="37" spans="1:15" x14ac:dyDescent="0.25">
      <c r="A37" s="15"/>
      <c r="B37" s="15"/>
      <c r="C37" s="15"/>
      <c r="D37" s="15"/>
      <c r="E37" s="15"/>
      <c r="F37" s="15"/>
      <c r="G37" s="15"/>
      <c r="H37" s="15"/>
      <c r="I37" s="15"/>
      <c r="J37" s="15"/>
      <c r="K37" s="15"/>
      <c r="L37" s="15"/>
      <c r="M37" s="15"/>
      <c r="N37" s="15"/>
      <c r="O37" s="15"/>
    </row>
    <row r="38" spans="1:15" x14ac:dyDescent="0.25">
      <c r="A38" s="15"/>
      <c r="B38" s="15"/>
      <c r="C38" s="15"/>
      <c r="D38" s="15"/>
      <c r="E38" s="15"/>
      <c r="F38" s="15"/>
      <c r="G38" s="15"/>
      <c r="H38" s="15"/>
      <c r="I38" s="15"/>
      <c r="J38" s="15"/>
      <c r="K38" s="15"/>
      <c r="L38" s="15"/>
      <c r="M38" s="15"/>
      <c r="N38" s="15"/>
      <c r="O38" s="15"/>
    </row>
    <row r="39" spans="1:15" x14ac:dyDescent="0.25">
      <c r="A39" s="15"/>
      <c r="B39" s="15"/>
      <c r="C39" s="15"/>
      <c r="D39" s="15"/>
      <c r="E39" s="15"/>
      <c r="F39" s="15"/>
      <c r="G39" s="15"/>
      <c r="H39" s="15"/>
      <c r="I39" s="15"/>
      <c r="J39" s="15"/>
      <c r="K39" s="15"/>
      <c r="L39" s="15"/>
      <c r="M39" s="15"/>
      <c r="N39" s="15"/>
      <c r="O39" s="15"/>
    </row>
    <row r="40" spans="1:15" x14ac:dyDescent="0.25">
      <c r="A40" s="15"/>
      <c r="B40" s="15"/>
      <c r="C40" s="15"/>
      <c r="D40" s="15"/>
      <c r="E40" s="15"/>
      <c r="F40" s="15"/>
      <c r="G40" s="15"/>
      <c r="H40" s="15"/>
      <c r="I40" s="15"/>
      <c r="J40" s="15"/>
      <c r="K40" s="15"/>
      <c r="L40" s="15"/>
      <c r="M40" s="15"/>
      <c r="N40" s="15"/>
      <c r="O40" s="15"/>
    </row>
    <row r="41" spans="1:15" ht="15" customHeight="1" x14ac:dyDescent="0.25">
      <c r="A41" s="277"/>
      <c r="B41" s="277"/>
      <c r="C41" s="277"/>
      <c r="D41" s="277"/>
      <c r="E41" s="277"/>
      <c r="F41" s="277"/>
      <c r="G41" s="277"/>
      <c r="H41" s="277"/>
      <c r="I41" s="277"/>
      <c r="J41" s="277"/>
      <c r="K41" s="16"/>
      <c r="L41" s="16"/>
    </row>
    <row r="42" spans="1:15" x14ac:dyDescent="0.25">
      <c r="A42" s="277"/>
      <c r="B42" s="277"/>
      <c r="C42" s="277"/>
      <c r="D42" s="277"/>
      <c r="E42" s="277"/>
      <c r="F42" s="277"/>
      <c r="G42" s="277"/>
      <c r="H42" s="277"/>
      <c r="I42" s="277"/>
      <c r="J42" s="277"/>
      <c r="K42" s="16"/>
      <c r="L42" s="16"/>
    </row>
  </sheetData>
  <mergeCells count="17">
    <mergeCell ref="A12:P13"/>
    <mergeCell ref="A6:P6"/>
    <mergeCell ref="A7:P7"/>
    <mergeCell ref="A8:P8"/>
    <mergeCell ref="A9:P9"/>
    <mergeCell ref="A10:P11"/>
    <mergeCell ref="O14:O15"/>
    <mergeCell ref="P14:P15"/>
    <mergeCell ref="A41:J42"/>
    <mergeCell ref="A16:A17"/>
    <mergeCell ref="A18:A19"/>
    <mergeCell ref="A14:A15"/>
    <mergeCell ref="B14:E14"/>
    <mergeCell ref="F14:F15"/>
    <mergeCell ref="G14:L14"/>
    <mergeCell ref="M14:M15"/>
    <mergeCell ref="N14:N15"/>
  </mergeCells>
  <dataValidations count="1">
    <dataValidation type="list" allowBlank="1" showInputMessage="1" showErrorMessage="1" sqref="E16:E30">
      <formula1>"A,B,C"</formula1>
    </dataValidation>
  </dataValidations>
  <printOptions horizontalCentered="1" verticalCentered="1"/>
  <pageMargins left="3.937007874015748E-2" right="3.937007874015748E-2" top="0.35433070866141736" bottom="0.39370078740157483" header="0.31496062992125984" footer="0.23622047244094491"/>
  <pageSetup scale="34" fitToHeight="0" orientation="landscape" r:id="rId1"/>
  <rowBreaks count="1" manualBreakCount="1">
    <brk id="21"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P47"/>
  <sheetViews>
    <sheetView showGridLines="0" zoomScale="60" zoomScaleNormal="60" zoomScaleSheetLayoutView="20" workbookViewId="0"/>
  </sheetViews>
  <sheetFormatPr baseColWidth="10" defaultColWidth="11.42578125" defaultRowHeight="15" x14ac:dyDescent="0.25"/>
  <cols>
    <col min="1" max="1" width="36.85546875" style="10" customWidth="1"/>
    <col min="2" max="2" width="25.7109375" style="10" customWidth="1"/>
    <col min="3" max="5" width="20.7109375" style="10" customWidth="1"/>
    <col min="6" max="6" width="42.85546875" style="10" customWidth="1"/>
    <col min="7" max="8" width="15.7109375" style="10" customWidth="1"/>
    <col min="9" max="9" width="17.140625" style="10" customWidth="1"/>
    <col min="10" max="11" width="15.7109375" style="10" customWidth="1"/>
    <col min="12" max="12" width="16.28515625" style="10" customWidth="1"/>
    <col min="13" max="13" width="22.28515625" style="10" customWidth="1"/>
    <col min="14" max="14" width="19.85546875" style="10" customWidth="1"/>
    <col min="15" max="15" width="35.85546875" style="10" customWidth="1"/>
    <col min="16" max="16" width="31.28515625" style="10" customWidth="1"/>
    <col min="17" max="16384" width="11.42578125" style="10"/>
  </cols>
  <sheetData>
    <row r="1" spans="1:16" ht="99.95" customHeight="1" x14ac:dyDescent="0.25"/>
    <row r="2" spans="1:16" ht="44.1" customHeight="1" x14ac:dyDescent="0.25">
      <c r="A2" s="9"/>
      <c r="B2" s="9"/>
      <c r="C2" s="9"/>
      <c r="D2" s="9"/>
      <c r="E2" s="9"/>
      <c r="F2" s="9"/>
      <c r="G2" s="9"/>
      <c r="H2" s="9"/>
      <c r="I2" s="9"/>
      <c r="J2" s="9"/>
      <c r="K2" s="9"/>
      <c r="L2" s="9"/>
      <c r="M2" s="9"/>
      <c r="N2" s="9"/>
      <c r="O2" s="9"/>
      <c r="P2" s="9"/>
    </row>
    <row r="3" spans="1:16" ht="44.1" customHeight="1" x14ac:dyDescent="0.25">
      <c r="A3" s="9"/>
      <c r="B3" s="9"/>
      <c r="C3" s="9"/>
      <c r="D3" s="9"/>
      <c r="E3" s="9"/>
      <c r="F3" s="9"/>
      <c r="G3" s="9"/>
      <c r="H3" s="9"/>
      <c r="I3" s="9"/>
      <c r="J3" s="9"/>
      <c r="K3" s="9"/>
      <c r="L3" s="9"/>
      <c r="M3" s="9"/>
      <c r="N3" s="9"/>
      <c r="O3" s="9"/>
      <c r="P3" s="9"/>
    </row>
    <row r="4" spans="1:16" ht="44.1" customHeight="1" x14ac:dyDescent="0.25">
      <c r="A4" s="9"/>
      <c r="B4" s="9"/>
      <c r="C4" s="9"/>
      <c r="D4" s="9"/>
      <c r="E4" s="9"/>
      <c r="F4" s="9"/>
      <c r="G4" s="9"/>
      <c r="H4" s="9"/>
      <c r="I4" s="9"/>
      <c r="J4" s="9"/>
      <c r="K4" s="9"/>
      <c r="L4" s="9"/>
      <c r="M4" s="9"/>
      <c r="N4" s="9"/>
      <c r="O4" s="9"/>
      <c r="P4" s="9"/>
    </row>
    <row r="5" spans="1:16" ht="44.1" customHeight="1" thickBot="1" x14ac:dyDescent="0.3">
      <c r="A5" s="9"/>
      <c r="B5" s="9"/>
      <c r="C5" s="9"/>
      <c r="D5" s="9"/>
      <c r="E5" s="9"/>
      <c r="F5" s="9"/>
      <c r="G5" s="9"/>
      <c r="H5" s="9"/>
      <c r="I5" s="9"/>
      <c r="J5" s="9"/>
      <c r="K5" s="9"/>
      <c r="L5" s="9"/>
      <c r="M5" s="9"/>
      <c r="N5" s="9"/>
      <c r="O5" s="9"/>
      <c r="P5" s="9"/>
    </row>
    <row r="6" spans="1:16" s="11" customFormat="1" ht="44.1" customHeight="1" thickBot="1" x14ac:dyDescent="0.3">
      <c r="A6" s="237" t="s">
        <v>18</v>
      </c>
      <c r="B6" s="238"/>
      <c r="C6" s="238"/>
      <c r="D6" s="238"/>
      <c r="E6" s="238"/>
      <c r="F6" s="238"/>
      <c r="G6" s="238"/>
      <c r="H6" s="238"/>
      <c r="I6" s="238"/>
      <c r="J6" s="238"/>
      <c r="K6" s="238"/>
      <c r="L6" s="238"/>
      <c r="M6" s="238"/>
      <c r="N6" s="238"/>
      <c r="O6" s="238"/>
      <c r="P6" s="239"/>
    </row>
    <row r="7" spans="1:16" s="11" customFormat="1" ht="99.95" customHeight="1" thickBot="1" x14ac:dyDescent="0.3">
      <c r="A7" s="234" t="s">
        <v>85</v>
      </c>
      <c r="B7" s="235"/>
      <c r="C7" s="235"/>
      <c r="D7" s="235"/>
      <c r="E7" s="235"/>
      <c r="F7" s="235"/>
      <c r="G7" s="235"/>
      <c r="H7" s="235"/>
      <c r="I7" s="235"/>
      <c r="J7" s="235"/>
      <c r="K7" s="235"/>
      <c r="L7" s="235"/>
      <c r="M7" s="235"/>
      <c r="N7" s="235"/>
      <c r="O7" s="235"/>
      <c r="P7" s="236"/>
    </row>
    <row r="8" spans="1:16" ht="27" thickBot="1" x14ac:dyDescent="0.3">
      <c r="A8" s="241" t="str">
        <f>+IF(Presentación!B1="","-","Informe de Ejecución del "&amp;Presentación!B1&amp;" del POA 2021 del INESPRE")</f>
        <v>Informe de Ejecución del Cuarto Trimestre del POA 2021 del INESPRE</v>
      </c>
      <c r="B8" s="241"/>
      <c r="C8" s="241"/>
      <c r="D8" s="241"/>
      <c r="E8" s="241"/>
      <c r="F8" s="241"/>
      <c r="G8" s="241"/>
      <c r="H8" s="241"/>
      <c r="I8" s="241"/>
      <c r="J8" s="241"/>
      <c r="K8" s="241"/>
      <c r="L8" s="241"/>
      <c r="M8" s="241"/>
      <c r="N8" s="241"/>
      <c r="O8" s="241"/>
      <c r="P8" s="242"/>
    </row>
    <row r="9" spans="1:16" s="12" customFormat="1" ht="23.25" customHeight="1" x14ac:dyDescent="0.25">
      <c r="A9" s="243" t="s">
        <v>94</v>
      </c>
      <c r="B9" s="244"/>
      <c r="C9" s="244"/>
      <c r="D9" s="244"/>
      <c r="E9" s="244"/>
      <c r="F9" s="244"/>
      <c r="G9" s="244"/>
      <c r="H9" s="244"/>
      <c r="I9" s="244"/>
      <c r="J9" s="244"/>
      <c r="K9" s="244"/>
      <c r="L9" s="244"/>
      <c r="M9" s="244"/>
      <c r="N9" s="244"/>
      <c r="O9" s="244"/>
      <c r="P9" s="245"/>
    </row>
    <row r="10" spans="1:16" s="12" customFormat="1" ht="20.100000000000001" customHeight="1" x14ac:dyDescent="0.25">
      <c r="A10" s="246" t="s">
        <v>19</v>
      </c>
      <c r="B10" s="230"/>
      <c r="C10" s="230"/>
      <c r="D10" s="230"/>
      <c r="E10" s="230"/>
      <c r="F10" s="230"/>
      <c r="G10" s="230"/>
      <c r="H10" s="230"/>
      <c r="I10" s="230"/>
      <c r="J10" s="230"/>
      <c r="K10" s="230"/>
      <c r="L10" s="230"/>
      <c r="M10" s="230"/>
      <c r="N10" s="230"/>
      <c r="O10" s="230"/>
      <c r="P10" s="231"/>
    </row>
    <row r="11" spans="1:16" s="12" customFormat="1" ht="20.100000000000001" customHeight="1" x14ac:dyDescent="0.25">
      <c r="A11" s="247"/>
      <c r="B11" s="248"/>
      <c r="C11" s="248"/>
      <c r="D11" s="248"/>
      <c r="E11" s="248"/>
      <c r="F11" s="248"/>
      <c r="G11" s="248"/>
      <c r="H11" s="248"/>
      <c r="I11" s="248"/>
      <c r="J11" s="248"/>
      <c r="K11" s="248"/>
      <c r="L11" s="248"/>
      <c r="M11" s="248"/>
      <c r="N11" s="248"/>
      <c r="O11" s="248"/>
      <c r="P11" s="249"/>
    </row>
    <row r="12" spans="1:16" s="12" customFormat="1" ht="14.45" customHeight="1" x14ac:dyDescent="0.25">
      <c r="A12" s="230" t="s">
        <v>93</v>
      </c>
      <c r="B12" s="230"/>
      <c r="C12" s="230"/>
      <c r="D12" s="230"/>
      <c r="E12" s="230"/>
      <c r="F12" s="230"/>
      <c r="G12" s="230"/>
      <c r="H12" s="230"/>
      <c r="I12" s="230"/>
      <c r="J12" s="230"/>
      <c r="K12" s="230"/>
      <c r="L12" s="230"/>
      <c r="M12" s="230"/>
      <c r="N12" s="230"/>
      <c r="O12" s="230"/>
      <c r="P12" s="231"/>
    </row>
    <row r="13" spans="1:16" s="12" customFormat="1" ht="15" customHeight="1" thickBot="1" x14ac:dyDescent="0.3">
      <c r="A13" s="232"/>
      <c r="B13" s="232"/>
      <c r="C13" s="232"/>
      <c r="D13" s="232"/>
      <c r="E13" s="232"/>
      <c r="F13" s="232"/>
      <c r="G13" s="232"/>
      <c r="H13" s="232"/>
      <c r="I13" s="232"/>
      <c r="J13" s="232"/>
      <c r="K13" s="232"/>
      <c r="L13" s="232"/>
      <c r="M13" s="232"/>
      <c r="N13" s="232"/>
      <c r="O13" s="232"/>
      <c r="P13" s="233"/>
    </row>
    <row r="14" spans="1:16" ht="47.25" customHeight="1" thickBot="1" x14ac:dyDescent="0.3">
      <c r="A14" s="226" t="s">
        <v>20</v>
      </c>
      <c r="B14" s="226" t="s">
        <v>21</v>
      </c>
      <c r="C14" s="226"/>
      <c r="D14" s="226"/>
      <c r="E14" s="226"/>
      <c r="F14" s="226" t="s">
        <v>22</v>
      </c>
      <c r="G14" s="227" t="str">
        <f>+IF(Presentación!B1="","-","Ejecución del "&amp;Presentación!B1)</f>
        <v>Ejecución del Cuarto Trimestre</v>
      </c>
      <c r="H14" s="228"/>
      <c r="I14" s="228"/>
      <c r="J14" s="228"/>
      <c r="K14" s="228"/>
      <c r="L14" s="229"/>
      <c r="M14" s="226" t="s">
        <v>23</v>
      </c>
      <c r="N14" s="226" t="s">
        <v>24</v>
      </c>
      <c r="O14" s="226" t="s">
        <v>25</v>
      </c>
      <c r="P14" s="226" t="s">
        <v>26</v>
      </c>
    </row>
    <row r="15" spans="1:16" s="12" customFormat="1" ht="63" customHeight="1" thickBot="1" x14ac:dyDescent="0.3">
      <c r="A15" s="226"/>
      <c r="B15" s="17" t="s">
        <v>27</v>
      </c>
      <c r="C15" s="17" t="s">
        <v>28</v>
      </c>
      <c r="D15" s="17" t="s">
        <v>29</v>
      </c>
      <c r="E15" s="17" t="s">
        <v>30</v>
      </c>
      <c r="F15" s="226"/>
      <c r="G15" s="18" t="str">
        <f>+IF(Presentación!B1="","-",IF(Presentación!B1="Primer Trimestre","Enero",IF(Presentación!B1="Segundo Trimestre","Abril",IF(Presentación!B1="Tercer Trimestre","Julio",IF(Presentación!B1="Cuarto Trimestre","Octubre")))))</f>
        <v>Octubre</v>
      </c>
      <c r="H15" s="18" t="str">
        <f>+IF(Presentación!B1="","-",IF(Presentación!B1="Primer Trimestre","Febrero",IF(Presentación!B1="Segundo Trimestre","Mayo",IF(Presentación!B1="Tercer Trimestre","Agosto",IF(Presentación!B1="Cuarto Trimestre","Noviembre")))))</f>
        <v>Noviembre</v>
      </c>
      <c r="I15" s="18" t="str">
        <f>+IF(Presentación!B1="","-",IF(Presentación!B1="Primer Trimestre","Marzo",IF(Presentación!B1="Segundo Trimestre","Junio",IF(Presentación!B1="Tercer Trimestre","Septiembre",IF(Presentación!B1="Cuarto Trimestre","Diciembre")))))</f>
        <v>Diciembre</v>
      </c>
      <c r="J15" s="18" t="s">
        <v>31</v>
      </c>
      <c r="K15" s="18" t="s">
        <v>32</v>
      </c>
      <c r="L15" s="18" t="s">
        <v>33</v>
      </c>
      <c r="M15" s="226"/>
      <c r="N15" s="226"/>
      <c r="O15" s="226"/>
      <c r="P15" s="226"/>
    </row>
    <row r="16" spans="1:16" ht="99.95" customHeight="1" thickBot="1" x14ac:dyDescent="0.3">
      <c r="A16" s="297" t="s">
        <v>355</v>
      </c>
      <c r="B16" s="19" t="s">
        <v>356</v>
      </c>
      <c r="C16" s="19" t="s">
        <v>357</v>
      </c>
      <c r="D16" s="20">
        <v>226</v>
      </c>
      <c r="E16" s="23" t="s">
        <v>37</v>
      </c>
      <c r="F16" s="80" t="s">
        <v>358</v>
      </c>
      <c r="G16" s="155">
        <v>33</v>
      </c>
      <c r="H16" s="155">
        <v>44</v>
      </c>
      <c r="I16" s="155">
        <v>25</v>
      </c>
      <c r="J16" s="156">
        <f>+SUM(G16:I16)</f>
        <v>102</v>
      </c>
      <c r="K16" s="13">
        <f>+IFERROR(J16/D16,"-")</f>
        <v>0.45132743362831856</v>
      </c>
      <c r="L16" s="13">
        <f>+K16+106.194690265487%</f>
        <v>1.5132743362831886</v>
      </c>
      <c r="M16" s="19" t="s">
        <v>419</v>
      </c>
      <c r="N16" s="19" t="s">
        <v>112</v>
      </c>
      <c r="O16" s="90" t="s">
        <v>420</v>
      </c>
      <c r="P16" s="93"/>
    </row>
    <row r="17" spans="1:16" ht="99.95" customHeight="1" thickBot="1" x14ac:dyDescent="0.3">
      <c r="A17" s="297"/>
      <c r="B17" s="19" t="s">
        <v>359</v>
      </c>
      <c r="C17" s="19" t="s">
        <v>360</v>
      </c>
      <c r="D17" s="22">
        <v>16</v>
      </c>
      <c r="E17" s="23" t="s">
        <v>60</v>
      </c>
      <c r="F17" s="80" t="s">
        <v>361</v>
      </c>
      <c r="G17" s="155">
        <v>0</v>
      </c>
      <c r="H17" s="155">
        <v>1</v>
      </c>
      <c r="I17" s="155">
        <v>0</v>
      </c>
      <c r="J17" s="156">
        <f t="shared" ref="J17:J35" si="0">+SUM(G17:I17)</f>
        <v>1</v>
      </c>
      <c r="K17" s="13">
        <f t="shared" ref="K17:K34" si="1">+IFERROR(J17/D17,"-")</f>
        <v>6.25E-2</v>
      </c>
      <c r="L17" s="13">
        <f>+K17+100%</f>
        <v>1.0625</v>
      </c>
      <c r="M17" s="19" t="s">
        <v>421</v>
      </c>
      <c r="N17" s="84" t="s">
        <v>422</v>
      </c>
      <c r="O17" s="90" t="s">
        <v>423</v>
      </c>
      <c r="P17" s="93"/>
    </row>
    <row r="18" spans="1:16" ht="116.25" customHeight="1" thickBot="1" x14ac:dyDescent="0.3">
      <c r="A18" s="297"/>
      <c r="B18" s="19" t="s">
        <v>362</v>
      </c>
      <c r="C18" s="19" t="s">
        <v>363</v>
      </c>
      <c r="D18" s="24">
        <v>24</v>
      </c>
      <c r="E18" s="23" t="s">
        <v>364</v>
      </c>
      <c r="F18" s="80" t="s">
        <v>365</v>
      </c>
      <c r="G18" s="155">
        <v>5</v>
      </c>
      <c r="H18" s="155">
        <v>15</v>
      </c>
      <c r="I18" s="155">
        <v>12</v>
      </c>
      <c r="J18" s="156">
        <f t="shared" si="0"/>
        <v>32</v>
      </c>
      <c r="K18" s="13">
        <f t="shared" si="1"/>
        <v>1.3333333333333333</v>
      </c>
      <c r="L18" s="13">
        <f>+K18+112.5%</f>
        <v>2.458333333333333</v>
      </c>
      <c r="M18" s="19" t="s">
        <v>421</v>
      </c>
      <c r="N18" s="84" t="s">
        <v>424</v>
      </c>
      <c r="O18" s="90" t="s">
        <v>425</v>
      </c>
      <c r="P18" s="93"/>
    </row>
    <row r="19" spans="1:16" ht="99.95" customHeight="1" thickBot="1" x14ac:dyDescent="0.3">
      <c r="A19" s="297"/>
      <c r="B19" s="19" t="s">
        <v>366</v>
      </c>
      <c r="C19" s="19" t="s">
        <v>367</v>
      </c>
      <c r="D19" s="25">
        <v>128</v>
      </c>
      <c r="E19" s="23" t="s">
        <v>60</v>
      </c>
      <c r="F19" s="80" t="s">
        <v>368</v>
      </c>
      <c r="G19" s="155">
        <v>0</v>
      </c>
      <c r="H19" s="155">
        <v>45</v>
      </c>
      <c r="I19" s="155">
        <v>47</v>
      </c>
      <c r="J19" s="156">
        <f t="shared" si="0"/>
        <v>92</v>
      </c>
      <c r="K19" s="13">
        <f t="shared" si="1"/>
        <v>0.71875</v>
      </c>
      <c r="L19" s="13">
        <f>+K19+33.59375%</f>
        <v>1.0546875</v>
      </c>
      <c r="M19" s="19" t="s">
        <v>421</v>
      </c>
      <c r="N19" s="84" t="s">
        <v>422</v>
      </c>
      <c r="O19" s="90" t="s">
        <v>426</v>
      </c>
      <c r="P19" s="93"/>
    </row>
    <row r="20" spans="1:16" ht="99.95" customHeight="1" thickBot="1" x14ac:dyDescent="0.3">
      <c r="A20" s="297"/>
      <c r="B20" s="19" t="s">
        <v>369</v>
      </c>
      <c r="C20" s="19" t="s">
        <v>370</v>
      </c>
      <c r="D20" s="24">
        <v>27</v>
      </c>
      <c r="E20" s="23" t="s">
        <v>37</v>
      </c>
      <c r="F20" s="80" t="s">
        <v>371</v>
      </c>
      <c r="G20" s="155">
        <v>4</v>
      </c>
      <c r="H20" s="155">
        <v>15</v>
      </c>
      <c r="I20" s="155">
        <v>15</v>
      </c>
      <c r="J20" s="156">
        <f t="shared" si="0"/>
        <v>34</v>
      </c>
      <c r="K20" s="13">
        <f t="shared" si="1"/>
        <v>1.2592592592592593</v>
      </c>
      <c r="L20" s="13">
        <f>+K20+59.2592592592592%</f>
        <v>1.8518518518518512</v>
      </c>
      <c r="M20" s="19" t="s">
        <v>421</v>
      </c>
      <c r="N20" s="84" t="s">
        <v>427</v>
      </c>
      <c r="O20" s="90" t="s">
        <v>428</v>
      </c>
      <c r="P20" s="93"/>
    </row>
    <row r="21" spans="1:16" ht="99.95" customHeight="1" thickBot="1" x14ac:dyDescent="0.3">
      <c r="A21" s="19" t="s">
        <v>372</v>
      </c>
      <c r="B21" s="19" t="s">
        <v>373</v>
      </c>
      <c r="C21" s="19" t="s">
        <v>374</v>
      </c>
      <c r="D21" s="20">
        <v>300</v>
      </c>
      <c r="E21" s="23" t="s">
        <v>37</v>
      </c>
      <c r="F21" s="80" t="s">
        <v>375</v>
      </c>
      <c r="G21" s="155">
        <v>50</v>
      </c>
      <c r="H21" s="155">
        <v>50</v>
      </c>
      <c r="I21" s="155">
        <v>91</v>
      </c>
      <c r="J21" s="156">
        <f t="shared" si="0"/>
        <v>191</v>
      </c>
      <c r="K21" s="13">
        <f t="shared" si="1"/>
        <v>0.63666666666666671</v>
      </c>
      <c r="L21" s="13">
        <f>+K21+90.6666666666667%</f>
        <v>1.5433333333333337</v>
      </c>
      <c r="M21" s="19" t="s">
        <v>421</v>
      </c>
      <c r="N21" s="84" t="s">
        <v>429</v>
      </c>
      <c r="O21" s="90" t="s">
        <v>430</v>
      </c>
      <c r="P21" s="93"/>
    </row>
    <row r="22" spans="1:16" ht="99.95" customHeight="1" thickBot="1" x14ac:dyDescent="0.3">
      <c r="A22" s="297" t="s">
        <v>376</v>
      </c>
      <c r="B22" s="19" t="s">
        <v>377</v>
      </c>
      <c r="C22" s="19" t="s">
        <v>378</v>
      </c>
      <c r="D22" s="20">
        <v>174</v>
      </c>
      <c r="E22" s="23" t="s">
        <v>37</v>
      </c>
      <c r="F22" s="80" t="s">
        <v>379</v>
      </c>
      <c r="G22" s="155">
        <v>16</v>
      </c>
      <c r="H22" s="155">
        <v>66</v>
      </c>
      <c r="I22" s="155">
        <v>66</v>
      </c>
      <c r="J22" s="156">
        <f t="shared" si="0"/>
        <v>148</v>
      </c>
      <c r="K22" s="13">
        <f t="shared" si="1"/>
        <v>0.85057471264367812</v>
      </c>
      <c r="L22" s="13">
        <f>+K22+34.4827586206896%</f>
        <v>1.1954022988505741</v>
      </c>
      <c r="M22" s="19" t="s">
        <v>421</v>
      </c>
      <c r="N22" s="84" t="s">
        <v>900</v>
      </c>
      <c r="O22" s="90" t="s">
        <v>431</v>
      </c>
      <c r="P22" s="93"/>
    </row>
    <row r="23" spans="1:16" ht="99.95" customHeight="1" thickBot="1" x14ac:dyDescent="0.3">
      <c r="A23" s="297"/>
      <c r="B23" s="19" t="s">
        <v>380</v>
      </c>
      <c r="C23" s="19" t="s">
        <v>378</v>
      </c>
      <c r="D23" s="22">
        <v>232</v>
      </c>
      <c r="E23" s="23" t="s">
        <v>37</v>
      </c>
      <c r="F23" s="80" t="s">
        <v>381</v>
      </c>
      <c r="G23" s="155">
        <v>57</v>
      </c>
      <c r="H23" s="155">
        <v>70</v>
      </c>
      <c r="I23" s="155">
        <v>49</v>
      </c>
      <c r="J23" s="156">
        <f t="shared" si="0"/>
        <v>176</v>
      </c>
      <c r="K23" s="13">
        <f t="shared" si="1"/>
        <v>0.75862068965517238</v>
      </c>
      <c r="L23" s="13">
        <f>+K23+153.879310344828%</f>
        <v>2.2974137931034528</v>
      </c>
      <c r="M23" s="19" t="s">
        <v>421</v>
      </c>
      <c r="N23" s="19" t="s">
        <v>112</v>
      </c>
      <c r="O23" s="90" t="s">
        <v>432</v>
      </c>
      <c r="P23" s="93"/>
    </row>
    <row r="24" spans="1:16" ht="99.95" customHeight="1" thickBot="1" x14ac:dyDescent="0.3">
      <c r="A24" s="297"/>
      <c r="B24" s="19" t="s">
        <v>382</v>
      </c>
      <c r="C24" s="19" t="s">
        <v>383</v>
      </c>
      <c r="D24" s="24">
        <v>4002</v>
      </c>
      <c r="E24" s="23" t="s">
        <v>37</v>
      </c>
      <c r="F24" s="80" t="s">
        <v>384</v>
      </c>
      <c r="G24" s="155">
        <v>652</v>
      </c>
      <c r="H24" s="155">
        <v>531</v>
      </c>
      <c r="I24" s="155">
        <v>459</v>
      </c>
      <c r="J24" s="156">
        <f t="shared" si="0"/>
        <v>1642</v>
      </c>
      <c r="K24" s="13">
        <f t="shared" si="1"/>
        <v>0.41029485257371312</v>
      </c>
      <c r="L24" s="13">
        <f>+K24+93.7531234382809%</f>
        <v>1.347826086956522</v>
      </c>
      <c r="M24" s="19" t="s">
        <v>421</v>
      </c>
      <c r="N24" s="19" t="s">
        <v>112</v>
      </c>
      <c r="O24" s="90" t="s">
        <v>433</v>
      </c>
      <c r="P24" s="93"/>
    </row>
    <row r="25" spans="1:16" ht="99.95" customHeight="1" thickBot="1" x14ac:dyDescent="0.3">
      <c r="A25" s="297" t="s">
        <v>385</v>
      </c>
      <c r="B25" s="19" t="s">
        <v>386</v>
      </c>
      <c r="C25" s="19" t="s">
        <v>387</v>
      </c>
      <c r="D25" s="24">
        <v>3250</v>
      </c>
      <c r="E25" s="23" t="s">
        <v>37</v>
      </c>
      <c r="F25" s="80" t="s">
        <v>388</v>
      </c>
      <c r="G25" s="155">
        <v>412</v>
      </c>
      <c r="H25" s="155">
        <v>511</v>
      </c>
      <c r="I25" s="155">
        <v>358</v>
      </c>
      <c r="J25" s="156">
        <f t="shared" si="0"/>
        <v>1281</v>
      </c>
      <c r="K25" s="13">
        <f t="shared" si="1"/>
        <v>0.39415384615384613</v>
      </c>
      <c r="L25" s="13">
        <f>+K25+97.3846153846154%</f>
        <v>1.3680000000000001</v>
      </c>
      <c r="M25" s="19" t="s">
        <v>421</v>
      </c>
      <c r="N25" s="19" t="s">
        <v>112</v>
      </c>
      <c r="O25" s="90" t="s">
        <v>434</v>
      </c>
      <c r="P25" s="93"/>
    </row>
    <row r="26" spans="1:16" ht="99.95" customHeight="1" thickBot="1" x14ac:dyDescent="0.3">
      <c r="A26" s="297"/>
      <c r="B26" s="19" t="s">
        <v>389</v>
      </c>
      <c r="C26" s="19" t="s">
        <v>390</v>
      </c>
      <c r="D26" s="24">
        <v>128</v>
      </c>
      <c r="E26" s="23" t="s">
        <v>37</v>
      </c>
      <c r="F26" s="80" t="s">
        <v>391</v>
      </c>
      <c r="G26" s="155">
        <v>24</v>
      </c>
      <c r="H26" s="155">
        <v>21</v>
      </c>
      <c r="I26" s="155">
        <v>10</v>
      </c>
      <c r="J26" s="156">
        <f t="shared" si="0"/>
        <v>55</v>
      </c>
      <c r="K26" s="13">
        <f t="shared" si="1"/>
        <v>0.4296875</v>
      </c>
      <c r="L26" s="13">
        <f>+K26+145.3125%</f>
        <v>1.8828125</v>
      </c>
      <c r="M26" s="19" t="s">
        <v>421</v>
      </c>
      <c r="N26" s="19" t="s">
        <v>112</v>
      </c>
      <c r="O26" s="90" t="s">
        <v>901</v>
      </c>
      <c r="P26" s="93"/>
    </row>
    <row r="27" spans="1:16" ht="99.95" customHeight="1" thickBot="1" x14ac:dyDescent="0.3">
      <c r="A27" s="297"/>
      <c r="B27" s="19" t="s">
        <v>392</v>
      </c>
      <c r="C27" s="19" t="s">
        <v>393</v>
      </c>
      <c r="D27" s="24">
        <v>24</v>
      </c>
      <c r="E27" s="23" t="s">
        <v>60</v>
      </c>
      <c r="F27" s="60" t="s">
        <v>394</v>
      </c>
      <c r="G27" s="155">
        <v>1</v>
      </c>
      <c r="H27" s="155">
        <v>24</v>
      </c>
      <c r="I27" s="155">
        <v>24</v>
      </c>
      <c r="J27" s="156">
        <f t="shared" si="0"/>
        <v>49</v>
      </c>
      <c r="K27" s="13">
        <f t="shared" si="1"/>
        <v>2.0416666666666665</v>
      </c>
      <c r="L27" s="13">
        <f>+K27+16.6666666666667%</f>
        <v>2.2083333333333335</v>
      </c>
      <c r="M27" s="19" t="s">
        <v>421</v>
      </c>
      <c r="N27" s="19" t="s">
        <v>112</v>
      </c>
      <c r="O27" s="90" t="s">
        <v>902</v>
      </c>
      <c r="P27" s="93"/>
    </row>
    <row r="28" spans="1:16" ht="120" customHeight="1" thickBot="1" x14ac:dyDescent="0.3">
      <c r="A28" s="19" t="s">
        <v>395</v>
      </c>
      <c r="B28" s="26" t="s">
        <v>396</v>
      </c>
      <c r="C28" s="19" t="s">
        <v>397</v>
      </c>
      <c r="D28" s="24">
        <v>250</v>
      </c>
      <c r="E28" s="23" t="s">
        <v>60</v>
      </c>
      <c r="F28" s="60" t="s">
        <v>398</v>
      </c>
      <c r="G28" s="155">
        <v>8</v>
      </c>
      <c r="H28" s="155">
        <v>192</v>
      </c>
      <c r="I28" s="155">
        <v>190</v>
      </c>
      <c r="J28" s="156">
        <f t="shared" si="0"/>
        <v>390</v>
      </c>
      <c r="K28" s="13">
        <f t="shared" si="1"/>
        <v>1.56</v>
      </c>
      <c r="L28" s="13">
        <f>+K28+34.8%</f>
        <v>1.9079999999999999</v>
      </c>
      <c r="M28" s="19" t="s">
        <v>421</v>
      </c>
      <c r="N28" s="84" t="s">
        <v>424</v>
      </c>
      <c r="O28" s="90" t="s">
        <v>435</v>
      </c>
      <c r="P28" s="93"/>
    </row>
    <row r="29" spans="1:16" ht="141" customHeight="1" thickBot="1" x14ac:dyDescent="0.3">
      <c r="A29" s="19" t="s">
        <v>399</v>
      </c>
      <c r="B29" s="26" t="s">
        <v>400</v>
      </c>
      <c r="C29" s="19" t="s">
        <v>401</v>
      </c>
      <c r="D29" s="25">
        <v>1</v>
      </c>
      <c r="E29" s="23" t="s">
        <v>37</v>
      </c>
      <c r="F29" s="81" t="s">
        <v>402</v>
      </c>
      <c r="G29" s="155">
        <v>0</v>
      </c>
      <c r="H29" s="155">
        <v>0</v>
      </c>
      <c r="I29" s="155">
        <v>0</v>
      </c>
      <c r="J29" s="156">
        <f t="shared" si="0"/>
        <v>0</v>
      </c>
      <c r="K29" s="13">
        <f t="shared" si="1"/>
        <v>0</v>
      </c>
      <c r="L29" s="13">
        <f>+K29+200%</f>
        <v>2</v>
      </c>
      <c r="M29" s="19" t="s">
        <v>421</v>
      </c>
      <c r="N29" s="84" t="s">
        <v>436</v>
      </c>
      <c r="O29" s="90" t="s">
        <v>437</v>
      </c>
      <c r="P29" s="93"/>
    </row>
    <row r="30" spans="1:16" ht="99.95" customHeight="1" thickBot="1" x14ac:dyDescent="0.3">
      <c r="A30" s="26" t="s">
        <v>403</v>
      </c>
      <c r="B30" s="26" t="s">
        <v>404</v>
      </c>
      <c r="C30" s="26" t="s">
        <v>405</v>
      </c>
      <c r="D30" s="25">
        <v>532</v>
      </c>
      <c r="E30" s="23" t="s">
        <v>37</v>
      </c>
      <c r="F30" s="82" t="s">
        <v>406</v>
      </c>
      <c r="G30" s="155">
        <v>42</v>
      </c>
      <c r="H30" s="155">
        <v>242</v>
      </c>
      <c r="I30" s="155">
        <v>264</v>
      </c>
      <c r="J30" s="156">
        <f t="shared" si="0"/>
        <v>548</v>
      </c>
      <c r="K30" s="13">
        <f t="shared" si="1"/>
        <v>1.0300751879699248</v>
      </c>
      <c r="L30" s="13">
        <f>+K30+34.5864661654136%</f>
        <v>1.3759398496240607</v>
      </c>
      <c r="M30" s="19" t="s">
        <v>421</v>
      </c>
      <c r="N30" s="85" t="s">
        <v>112</v>
      </c>
      <c r="O30" s="91" t="s">
        <v>438</v>
      </c>
      <c r="P30" s="94"/>
    </row>
    <row r="31" spans="1:16" ht="99.95" customHeight="1" thickBot="1" x14ac:dyDescent="0.3">
      <c r="A31" s="26" t="s">
        <v>407</v>
      </c>
      <c r="B31" s="26" t="s">
        <v>408</v>
      </c>
      <c r="C31" s="26" t="s">
        <v>409</v>
      </c>
      <c r="D31" s="25">
        <v>4</v>
      </c>
      <c r="E31" s="23" t="s">
        <v>37</v>
      </c>
      <c r="F31" s="82" t="s">
        <v>410</v>
      </c>
      <c r="G31" s="155">
        <v>1</v>
      </c>
      <c r="H31" s="155">
        <v>1</v>
      </c>
      <c r="I31" s="155">
        <v>1</v>
      </c>
      <c r="J31" s="156">
        <f t="shared" si="0"/>
        <v>3</v>
      </c>
      <c r="K31" s="13">
        <f t="shared" si="1"/>
        <v>0.75</v>
      </c>
      <c r="L31" s="13">
        <f>+K31+150%</f>
        <v>2.25</v>
      </c>
      <c r="M31" s="19" t="s">
        <v>421</v>
      </c>
      <c r="N31" s="26" t="s">
        <v>112</v>
      </c>
      <c r="O31" s="91" t="s">
        <v>439</v>
      </c>
      <c r="P31" s="94"/>
    </row>
    <row r="32" spans="1:16" ht="99.95" customHeight="1" thickBot="1" x14ac:dyDescent="0.3">
      <c r="A32" s="26" t="s">
        <v>411</v>
      </c>
      <c r="B32" s="26" t="s">
        <v>412</v>
      </c>
      <c r="C32" s="26" t="s">
        <v>413</v>
      </c>
      <c r="D32" s="25">
        <v>60</v>
      </c>
      <c r="E32" s="23" t="s">
        <v>37</v>
      </c>
      <c r="F32" s="82" t="s">
        <v>414</v>
      </c>
      <c r="G32" s="155">
        <v>20</v>
      </c>
      <c r="H32" s="155">
        <v>50</v>
      </c>
      <c r="I32" s="155">
        <v>40</v>
      </c>
      <c r="J32" s="156">
        <f t="shared" si="0"/>
        <v>110</v>
      </c>
      <c r="K32" s="13">
        <f t="shared" si="1"/>
        <v>1.8333333333333333</v>
      </c>
      <c r="L32" s="13">
        <f>+K32+98.3333333333333%</f>
        <v>2.8166666666666664</v>
      </c>
      <c r="M32" s="19" t="s">
        <v>421</v>
      </c>
      <c r="N32" s="64" t="s">
        <v>440</v>
      </c>
      <c r="O32" s="91" t="s">
        <v>441</v>
      </c>
      <c r="P32" s="94"/>
    </row>
    <row r="33" spans="1:16" ht="99.95" customHeight="1" thickBot="1" x14ac:dyDescent="0.3">
      <c r="A33" s="26" t="s">
        <v>415</v>
      </c>
      <c r="B33" s="26" t="s">
        <v>416</v>
      </c>
      <c r="C33" s="26" t="s">
        <v>417</v>
      </c>
      <c r="D33" s="25">
        <v>24</v>
      </c>
      <c r="E33" s="23" t="s">
        <v>37</v>
      </c>
      <c r="F33" s="82" t="s">
        <v>418</v>
      </c>
      <c r="G33" s="155">
        <v>1</v>
      </c>
      <c r="H33" s="155">
        <v>1</v>
      </c>
      <c r="I33" s="155">
        <v>6</v>
      </c>
      <c r="J33" s="156">
        <f t="shared" si="0"/>
        <v>8</v>
      </c>
      <c r="K33" s="13">
        <f t="shared" si="1"/>
        <v>0.33333333333333331</v>
      </c>
      <c r="L33" s="13">
        <f>+K33+62.5%</f>
        <v>0.95833333333333326</v>
      </c>
      <c r="M33" s="19" t="s">
        <v>421</v>
      </c>
      <c r="N33" s="85" t="s">
        <v>112</v>
      </c>
      <c r="O33" s="91" t="s">
        <v>442</v>
      </c>
      <c r="P33" s="94"/>
    </row>
    <row r="34" spans="1:16" ht="138" customHeight="1" thickBot="1" x14ac:dyDescent="0.3">
      <c r="A34" s="298" t="s">
        <v>443</v>
      </c>
      <c r="B34" s="86" t="s">
        <v>444</v>
      </c>
      <c r="C34" s="86" t="s">
        <v>445</v>
      </c>
      <c r="D34" s="20">
        <v>30</v>
      </c>
      <c r="E34" s="87" t="s">
        <v>37</v>
      </c>
      <c r="F34" s="88" t="s">
        <v>446</v>
      </c>
      <c r="G34" s="155">
        <v>0</v>
      </c>
      <c r="H34" s="155">
        <v>1</v>
      </c>
      <c r="I34" s="155">
        <v>0</v>
      </c>
      <c r="J34" s="156">
        <f t="shared" si="0"/>
        <v>1</v>
      </c>
      <c r="K34" s="13">
        <f t="shared" si="1"/>
        <v>3.3333333333333333E-2</v>
      </c>
      <c r="L34" s="13">
        <f>+K34+133.333333333333%</f>
        <v>1.3666666666666634</v>
      </c>
      <c r="M34" s="86" t="s">
        <v>457</v>
      </c>
      <c r="N34" s="89" t="s">
        <v>458</v>
      </c>
      <c r="O34" s="92" t="s">
        <v>459</v>
      </c>
      <c r="P34" s="95"/>
    </row>
    <row r="35" spans="1:16" ht="139.5" customHeight="1" thickBot="1" x14ac:dyDescent="0.3">
      <c r="A35" s="298"/>
      <c r="B35" s="86" t="s">
        <v>447</v>
      </c>
      <c r="C35" s="86" t="s">
        <v>448</v>
      </c>
      <c r="D35" s="22">
        <v>56</v>
      </c>
      <c r="E35" s="87" t="s">
        <v>60</v>
      </c>
      <c r="F35" s="88" t="s">
        <v>449</v>
      </c>
      <c r="G35" s="155">
        <v>22</v>
      </c>
      <c r="H35" s="155">
        <v>18</v>
      </c>
      <c r="I35" s="155">
        <v>13</v>
      </c>
      <c r="J35" s="156">
        <f t="shared" si="0"/>
        <v>53</v>
      </c>
      <c r="K35" s="13">
        <f>+IFERROR(J35/D35,"-")</f>
        <v>0.9464285714285714</v>
      </c>
      <c r="L35" s="13">
        <f>+K35+232.142857142858%</f>
        <v>3.2678571428571512</v>
      </c>
      <c r="M35" s="86" t="s">
        <v>457</v>
      </c>
      <c r="N35" s="89" t="s">
        <v>458</v>
      </c>
      <c r="O35" s="92" t="s">
        <v>460</v>
      </c>
      <c r="P35" s="95"/>
    </row>
    <row r="36" spans="1:16" ht="132" customHeight="1" thickBot="1" x14ac:dyDescent="0.3">
      <c r="A36" s="86" t="s">
        <v>450</v>
      </c>
      <c r="B36" s="86" t="s">
        <v>451</v>
      </c>
      <c r="C36" s="86" t="s">
        <v>452</v>
      </c>
      <c r="D36" s="24">
        <v>15</v>
      </c>
      <c r="E36" s="87" t="s">
        <v>37</v>
      </c>
      <c r="F36" s="88" t="s">
        <v>446</v>
      </c>
      <c r="G36" s="155">
        <v>1</v>
      </c>
      <c r="H36" s="155">
        <v>1</v>
      </c>
      <c r="I36" s="155">
        <v>3</v>
      </c>
      <c r="J36" s="156">
        <f t="shared" ref="J36:J37" si="2">+SUM(G36:I36)</f>
        <v>5</v>
      </c>
      <c r="K36" s="13">
        <f t="shared" ref="K36:K37" si="3">+IFERROR(J36/D36,"-")</f>
        <v>0.33333333333333331</v>
      </c>
      <c r="L36" s="13">
        <f>+K36+20%</f>
        <v>0.53333333333333333</v>
      </c>
      <c r="M36" s="86" t="s">
        <v>457</v>
      </c>
      <c r="N36" s="89" t="s">
        <v>458</v>
      </c>
      <c r="O36" s="92" t="s">
        <v>461</v>
      </c>
      <c r="P36" s="95"/>
    </row>
    <row r="37" spans="1:16" ht="118.5" customHeight="1" thickBot="1" x14ac:dyDescent="0.3">
      <c r="A37" s="86" t="s">
        <v>453</v>
      </c>
      <c r="B37" s="86" t="s">
        <v>454</v>
      </c>
      <c r="C37" s="86" t="s">
        <v>455</v>
      </c>
      <c r="D37" s="25">
        <v>96</v>
      </c>
      <c r="E37" s="87" t="s">
        <v>37</v>
      </c>
      <c r="F37" s="88" t="s">
        <v>456</v>
      </c>
      <c r="G37" s="155">
        <v>1</v>
      </c>
      <c r="H37" s="155">
        <v>1</v>
      </c>
      <c r="I37" s="155">
        <v>1</v>
      </c>
      <c r="J37" s="156">
        <f t="shared" si="2"/>
        <v>3</v>
      </c>
      <c r="K37" s="13">
        <f t="shared" si="3"/>
        <v>3.125E-2</v>
      </c>
      <c r="L37" s="13">
        <f>+K37+10.4166666666667%</f>
        <v>0.13541666666666702</v>
      </c>
      <c r="M37" s="86" t="s">
        <v>457</v>
      </c>
      <c r="N37" s="86" t="s">
        <v>112</v>
      </c>
      <c r="O37" s="92" t="s">
        <v>462</v>
      </c>
      <c r="P37" s="95"/>
    </row>
    <row r="38" spans="1:16" x14ac:dyDescent="0.25">
      <c r="A38" s="14"/>
      <c r="B38" s="14"/>
      <c r="C38" s="14"/>
      <c r="D38" s="14"/>
      <c r="E38" s="14"/>
      <c r="F38" s="15"/>
      <c r="G38" s="14"/>
      <c r="H38" s="14"/>
      <c r="I38" s="14"/>
      <c r="J38" s="14"/>
      <c r="K38" s="14"/>
      <c r="L38" s="14"/>
      <c r="M38" s="15"/>
      <c r="N38" s="15"/>
      <c r="O38" s="15"/>
    </row>
    <row r="39" spans="1:16" x14ac:dyDescent="0.25">
      <c r="A39" s="14"/>
      <c r="B39" s="14"/>
      <c r="C39" s="14"/>
      <c r="D39" s="14"/>
      <c r="E39" s="14"/>
      <c r="F39" s="15"/>
      <c r="G39" s="14"/>
      <c r="H39" s="14"/>
      <c r="I39" s="14"/>
      <c r="J39" s="14"/>
      <c r="K39" s="14"/>
      <c r="L39" s="14"/>
      <c r="M39" s="15"/>
      <c r="N39" s="15"/>
      <c r="O39" s="15"/>
    </row>
    <row r="40" spans="1:16" x14ac:dyDescent="0.25">
      <c r="A40" s="15"/>
      <c r="B40" s="15"/>
      <c r="C40" s="15"/>
      <c r="D40" s="15"/>
      <c r="E40" s="15"/>
      <c r="F40" s="15"/>
      <c r="G40" s="15"/>
      <c r="H40" s="15"/>
      <c r="I40" s="15"/>
      <c r="J40" s="15"/>
      <c r="K40" s="15"/>
      <c r="L40" s="15"/>
      <c r="M40" s="15"/>
      <c r="N40" s="15"/>
      <c r="O40" s="15"/>
    </row>
    <row r="41" spans="1:16" x14ac:dyDescent="0.25">
      <c r="A41" s="15"/>
      <c r="B41" s="15"/>
      <c r="C41" s="15"/>
      <c r="D41" s="15"/>
      <c r="E41" s="15"/>
      <c r="F41" s="15"/>
      <c r="G41" s="15"/>
      <c r="H41" s="15"/>
      <c r="I41" s="15"/>
      <c r="J41" s="15"/>
      <c r="K41" s="15"/>
      <c r="L41" s="15"/>
      <c r="M41" s="15"/>
      <c r="N41" s="15"/>
      <c r="O41" s="15"/>
    </row>
    <row r="42" spans="1:16" x14ac:dyDescent="0.25">
      <c r="A42" s="15"/>
      <c r="B42" s="15"/>
      <c r="C42" s="15"/>
      <c r="D42" s="15"/>
      <c r="E42" s="15"/>
      <c r="F42" s="15"/>
      <c r="G42" s="15"/>
      <c r="H42" s="15"/>
      <c r="I42" s="15"/>
      <c r="J42" s="15"/>
      <c r="K42" s="15"/>
      <c r="L42" s="15"/>
      <c r="M42" s="15"/>
      <c r="N42" s="15"/>
      <c r="O42" s="15"/>
    </row>
    <row r="43" spans="1:16" x14ac:dyDescent="0.25">
      <c r="A43" s="15"/>
      <c r="B43" s="15"/>
      <c r="C43" s="15"/>
      <c r="D43" s="15"/>
      <c r="E43" s="15"/>
      <c r="F43" s="15"/>
      <c r="G43" s="15"/>
      <c r="H43" s="15"/>
      <c r="I43" s="15"/>
      <c r="J43" s="15"/>
      <c r="K43" s="15"/>
      <c r="L43" s="15"/>
      <c r="M43" s="15"/>
      <c r="N43" s="15"/>
      <c r="O43" s="15"/>
    </row>
    <row r="44" spans="1:16" x14ac:dyDescent="0.25">
      <c r="A44" s="15"/>
      <c r="B44" s="15"/>
      <c r="C44" s="15"/>
      <c r="D44" s="15"/>
      <c r="E44" s="15"/>
      <c r="F44" s="15"/>
      <c r="G44" s="15"/>
      <c r="H44" s="15"/>
      <c r="I44" s="15"/>
      <c r="J44" s="15"/>
      <c r="K44" s="15"/>
      <c r="L44" s="15"/>
      <c r="M44" s="15"/>
      <c r="N44" s="15"/>
      <c r="O44" s="15"/>
    </row>
    <row r="45" spans="1:16" x14ac:dyDescent="0.25">
      <c r="A45" s="15"/>
      <c r="B45" s="15"/>
      <c r="C45" s="15"/>
      <c r="D45" s="15"/>
      <c r="E45" s="15"/>
      <c r="F45" s="15"/>
      <c r="G45" s="15"/>
      <c r="H45" s="15"/>
      <c r="I45" s="15"/>
      <c r="J45" s="15"/>
      <c r="K45" s="15"/>
      <c r="L45" s="15"/>
      <c r="M45" s="15"/>
      <c r="N45" s="15"/>
      <c r="O45" s="15"/>
    </row>
    <row r="46" spans="1:16" ht="15" customHeight="1" x14ac:dyDescent="0.25">
      <c r="A46" s="277"/>
      <c r="B46" s="277"/>
      <c r="C46" s="277"/>
      <c r="D46" s="277"/>
      <c r="E46" s="277"/>
      <c r="F46" s="277"/>
      <c r="G46" s="277"/>
      <c r="H46" s="277"/>
      <c r="I46" s="277"/>
      <c r="J46" s="277"/>
      <c r="K46" s="16"/>
      <c r="L46" s="16"/>
    </row>
    <row r="47" spans="1:16" x14ac:dyDescent="0.25">
      <c r="A47" s="277"/>
      <c r="B47" s="277"/>
      <c r="C47" s="277"/>
      <c r="D47" s="277"/>
      <c r="E47" s="277"/>
      <c r="F47" s="277"/>
      <c r="G47" s="277"/>
      <c r="H47" s="277"/>
      <c r="I47" s="277"/>
      <c r="J47" s="277"/>
      <c r="K47" s="16"/>
      <c r="L47" s="16"/>
    </row>
  </sheetData>
  <mergeCells count="19">
    <mergeCell ref="A12:P13"/>
    <mergeCell ref="A6:P6"/>
    <mergeCell ref="A7:P7"/>
    <mergeCell ref="A8:P8"/>
    <mergeCell ref="A9:P9"/>
    <mergeCell ref="A10:P11"/>
    <mergeCell ref="O14:O15"/>
    <mergeCell ref="P14:P15"/>
    <mergeCell ref="A46:J47"/>
    <mergeCell ref="A16:A20"/>
    <mergeCell ref="A22:A24"/>
    <mergeCell ref="A25:A27"/>
    <mergeCell ref="A34:A35"/>
    <mergeCell ref="A14:A15"/>
    <mergeCell ref="B14:E14"/>
    <mergeCell ref="F14:F15"/>
    <mergeCell ref="G14:L14"/>
    <mergeCell ref="M14:M15"/>
    <mergeCell ref="N14:N15"/>
  </mergeCells>
  <printOptions horizontalCentered="1" verticalCentered="1"/>
  <pageMargins left="3.937007874015748E-2" right="3.937007874015748E-2" top="0.35433070866141736" bottom="0.39370078740157483" header="0.31496062992125984" footer="0.23622047244094491"/>
  <pageSetup scale="35" fitToHeight="0" orientation="landscape" r:id="rId1"/>
  <rowBreaks count="3" manualBreakCount="3">
    <brk id="21" max="15" man="1"/>
    <brk id="27" max="15" man="1"/>
    <brk id="3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25</vt:i4>
      </vt:variant>
    </vt:vector>
  </HeadingPairs>
  <TitlesOfParts>
    <vt:vector size="41" baseType="lpstr">
      <vt:lpstr>Presentación</vt:lpstr>
      <vt:lpstr>Introducción</vt:lpstr>
      <vt:lpstr>Seguridad Militar</vt:lpstr>
      <vt:lpstr>Agropecuaria</vt:lpstr>
      <vt:lpstr>Logística</vt:lpstr>
      <vt:lpstr>Comercialización</vt:lpstr>
      <vt:lpstr>Programas</vt:lpstr>
      <vt:lpstr>Dirección Ejecutiva</vt:lpstr>
      <vt:lpstr>Comunicaciones</vt:lpstr>
      <vt:lpstr>Normas y Seguimiento</vt:lpstr>
      <vt:lpstr>Planificación y Desarrollo</vt:lpstr>
      <vt:lpstr>TIC</vt:lpstr>
      <vt:lpstr>Jurídica</vt:lpstr>
      <vt:lpstr>Administrativa Financiera</vt:lpstr>
      <vt:lpstr>Recursos Humanos</vt:lpstr>
      <vt:lpstr>OAI</vt:lpstr>
      <vt:lpstr>'Administrativa Financiera'!Área_de_impresión</vt:lpstr>
      <vt:lpstr>Agropecuaria!Área_de_impresión</vt:lpstr>
      <vt:lpstr>Comercialización!Área_de_impresión</vt:lpstr>
      <vt:lpstr>Comunicaciones!Área_de_impresión</vt:lpstr>
      <vt:lpstr>'Dirección Ejecutiva'!Área_de_impresión</vt:lpstr>
      <vt:lpstr>Introducción!Área_de_impresión</vt:lpstr>
      <vt:lpstr>Jurídica!Área_de_impresión</vt:lpstr>
      <vt:lpstr>Logística!Área_de_impresión</vt:lpstr>
      <vt:lpstr>'Normas y Seguimiento'!Área_de_impresión</vt:lpstr>
      <vt:lpstr>OAI!Área_de_impresión</vt:lpstr>
      <vt:lpstr>'Planificación y Desarrollo'!Área_de_impresión</vt:lpstr>
      <vt:lpstr>Presentación!Área_de_impresión</vt:lpstr>
      <vt:lpstr>Programas!Área_de_impresión</vt:lpstr>
      <vt:lpstr>'Recursos Humanos'!Área_de_impresión</vt:lpstr>
      <vt:lpstr>'Seguridad Militar'!Área_de_impresión</vt:lpstr>
      <vt:lpstr>TIC!Área_de_impresión</vt:lpstr>
      <vt:lpstr>'Administrativa Financiera'!Títulos_a_imprimir</vt:lpstr>
      <vt:lpstr>Agropecuaria!Títulos_a_imprimir</vt:lpstr>
      <vt:lpstr>Comunicaciones!Títulos_a_imprimir</vt:lpstr>
      <vt:lpstr>'Dirección Ejecutiva'!Títulos_a_imprimir</vt:lpstr>
      <vt:lpstr>'Normas y Seguimiento'!Títulos_a_imprimir</vt:lpstr>
      <vt:lpstr>'Planificación y Desarrollo'!Títulos_a_imprimir</vt:lpstr>
      <vt:lpstr>Programas!Títulos_a_imprimir</vt:lpstr>
      <vt:lpstr>'Recursos Humanos'!Títulos_a_imprimir</vt:lpstr>
      <vt:lpstr>TIC!Títulos_a_imprimir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Ranci Yanel Danis Veras</cp:lastModifiedBy>
  <cp:lastPrinted>2022-01-07T15:49:46Z</cp:lastPrinted>
  <dcterms:created xsi:type="dcterms:W3CDTF">2021-05-03T15:11:20Z</dcterms:created>
  <dcterms:modified xsi:type="dcterms:W3CDTF">2022-01-07T15:51:56Z</dcterms:modified>
</cp:coreProperties>
</file>