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rdanis\Desktop\"/>
    </mc:Choice>
  </mc:AlternateContent>
  <bookViews>
    <workbookView xWindow="0" yWindow="0" windowWidth="28800" windowHeight="12435"/>
  </bookViews>
  <sheets>
    <sheet name="Presentación" sheetId="1" r:id="rId1"/>
    <sheet name="Introducción" sheetId="22" r:id="rId2"/>
    <sheet name="Seguridad Militar" sheetId="8" r:id="rId3"/>
    <sheet name="Agropecuaria" sheetId="9" r:id="rId4"/>
    <sheet name="Logística" sheetId="10" r:id="rId5"/>
    <sheet name="Comercialización" sheetId="11" r:id="rId6"/>
    <sheet name="Programas" sheetId="12" r:id="rId7"/>
    <sheet name="Dirección Ejecutiva" sheetId="13" r:id="rId8"/>
    <sheet name="Comunicaciones" sheetId="14" r:id="rId9"/>
    <sheet name="Normas y Seguimiento" sheetId="15" r:id="rId10"/>
    <sheet name="Planificación y Desarrollo" sheetId="16" r:id="rId11"/>
    <sheet name="TIC" sheetId="17" r:id="rId12"/>
    <sheet name="Jurídica" sheetId="18" r:id="rId13"/>
    <sheet name="Administrativa Financiera" sheetId="19" r:id="rId14"/>
    <sheet name="Recursos Humanos" sheetId="20" r:id="rId15"/>
    <sheet name="OAI" sheetId="21" r:id="rId16"/>
  </sheets>
  <definedNames>
    <definedName name="_xlnm.Print_Area" localSheetId="13">'Administrativa Financiera'!$A$2:$P$26</definedName>
    <definedName name="_xlnm.Print_Area" localSheetId="3">Agropecuaria!$A$2:$P$36</definedName>
    <definedName name="_xlnm.Print_Area" localSheetId="5">Comercialización!$A$2:$P$22</definedName>
    <definedName name="_xlnm.Print_Area" localSheetId="8">Comunicaciones!$A$2:$P$37</definedName>
    <definedName name="_xlnm.Print_Area" localSheetId="7">'Dirección Ejecutiva'!$A$2:$P$30</definedName>
    <definedName name="_xlnm.Print_Area" localSheetId="1">Introducción!$A$1:$I$46</definedName>
    <definedName name="_xlnm.Print_Area" localSheetId="12">Jurídica!$A$2:$P$22</definedName>
    <definedName name="_xlnm.Print_Area" localSheetId="4">Logística!$A$2:$P$19</definedName>
    <definedName name="_xlnm.Print_Area" localSheetId="9">'Normas y Seguimiento'!$A$2:$P$32</definedName>
    <definedName name="_xlnm.Print_Area" localSheetId="15">OAI!$A$2:$P$44</definedName>
    <definedName name="_xlnm.Print_Area" localSheetId="10">'Planificación y Desarrollo'!$A$2:$P$33</definedName>
    <definedName name="_xlnm.Print_Area" localSheetId="0">Presentación!$A$2:$J$67</definedName>
    <definedName name="_xlnm.Print_Area" localSheetId="6">Programas!$A$2:$P$27</definedName>
    <definedName name="_xlnm.Print_Area" localSheetId="14">'Recursos Humanos'!$A$2:$P$32</definedName>
    <definedName name="_xlnm.Print_Area" localSheetId="2">'Seguridad Militar'!$A$2:$P$20</definedName>
    <definedName name="_xlnm.Print_Area" localSheetId="11">TIC!$A$2:$P$37</definedName>
    <definedName name="_xlnm.Print_Titles" localSheetId="13">'Administrativa Financiera'!$14:$15</definedName>
    <definedName name="_xlnm.Print_Titles" localSheetId="3">Agropecuaria!$14:$15</definedName>
    <definedName name="_xlnm.Print_Titles" localSheetId="8">Comunicaciones!$14:$15</definedName>
    <definedName name="_xlnm.Print_Titles" localSheetId="7">'Dirección Ejecutiva'!$14:$15</definedName>
    <definedName name="_xlnm.Print_Titles" localSheetId="9">'Normas y Seguimiento'!$14:$15</definedName>
    <definedName name="_xlnm.Print_Titles" localSheetId="10">'Planificación y Desarrollo'!$14:$15</definedName>
    <definedName name="_xlnm.Print_Titles" localSheetId="6">Programas!$14:$15</definedName>
    <definedName name="_xlnm.Print_Titles" localSheetId="14">'Recursos Humanos'!$14:$15</definedName>
    <definedName name="_xlnm.Print_Titles" localSheetId="11">TIC!$14:$15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22" l="1"/>
  <c r="J19" i="10" l="1"/>
  <c r="J25" i="12"/>
  <c r="J24" i="12"/>
  <c r="I15" i="8"/>
  <c r="J37" i="17"/>
  <c r="K37" i="17" s="1"/>
  <c r="L37" i="17" s="1"/>
  <c r="J36" i="17"/>
  <c r="K36" i="17" s="1"/>
  <c r="L36" i="17" s="1"/>
  <c r="J37" i="14" l="1"/>
  <c r="K37" i="14" s="1"/>
  <c r="L37" i="14" s="1"/>
  <c r="J36" i="14"/>
  <c r="K36" i="14" s="1"/>
  <c r="L36" i="14" s="1"/>
  <c r="J16" i="11" l="1"/>
  <c r="K16" i="11" s="1"/>
  <c r="L16" i="11" s="1"/>
  <c r="J36" i="9" l="1"/>
  <c r="K36" i="9" s="1"/>
  <c r="L36" i="9" s="1"/>
  <c r="J20" i="21" l="1"/>
  <c r="K20" i="21" s="1"/>
  <c r="L20" i="21" s="1"/>
  <c r="J19" i="21"/>
  <c r="K19" i="21" s="1"/>
  <c r="L19" i="21" s="1"/>
  <c r="J18" i="21"/>
  <c r="K18" i="21" s="1"/>
  <c r="L18" i="21" s="1"/>
  <c r="J17" i="21"/>
  <c r="K17" i="21" s="1"/>
  <c r="L17" i="21" s="1"/>
  <c r="J16" i="21"/>
  <c r="K16" i="21" s="1"/>
  <c r="L16" i="21" s="1"/>
  <c r="I15" i="21"/>
  <c r="H15" i="21"/>
  <c r="G15" i="21"/>
  <c r="G14" i="21"/>
  <c r="A8" i="21"/>
  <c r="J32" i="20"/>
  <c r="K32" i="20" s="1"/>
  <c r="L32" i="20" s="1"/>
  <c r="J31" i="20"/>
  <c r="K31" i="20" s="1"/>
  <c r="L31" i="20" s="1"/>
  <c r="J30" i="20"/>
  <c r="K30" i="20" s="1"/>
  <c r="L30" i="20" s="1"/>
  <c r="J29" i="20"/>
  <c r="K29" i="20" s="1"/>
  <c r="L29" i="20" s="1"/>
  <c r="J28" i="20"/>
  <c r="K28" i="20" s="1"/>
  <c r="L28" i="20" s="1"/>
  <c r="J27" i="20"/>
  <c r="K27" i="20" s="1"/>
  <c r="L27" i="20" s="1"/>
  <c r="J26" i="20"/>
  <c r="K26" i="20" s="1"/>
  <c r="L26" i="20" s="1"/>
  <c r="J25" i="20"/>
  <c r="K25" i="20" s="1"/>
  <c r="L25" i="20" s="1"/>
  <c r="J24" i="20"/>
  <c r="K24" i="20" s="1"/>
  <c r="L24" i="20" s="1"/>
  <c r="J23" i="20"/>
  <c r="K23" i="20" s="1"/>
  <c r="L23" i="20" s="1"/>
  <c r="J22" i="20"/>
  <c r="K22" i="20" s="1"/>
  <c r="L22" i="20" s="1"/>
  <c r="J21" i="20"/>
  <c r="K21" i="20" s="1"/>
  <c r="L21" i="20" s="1"/>
  <c r="J20" i="20"/>
  <c r="K20" i="20" s="1"/>
  <c r="L20" i="20" s="1"/>
  <c r="J19" i="20"/>
  <c r="K19" i="20" s="1"/>
  <c r="L19" i="20" s="1"/>
  <c r="J18" i="20"/>
  <c r="K18" i="20" s="1"/>
  <c r="L18" i="20" s="1"/>
  <c r="J17" i="20"/>
  <c r="K17" i="20" s="1"/>
  <c r="L17" i="20" s="1"/>
  <c r="J16" i="20"/>
  <c r="K16" i="20" s="1"/>
  <c r="L16" i="20" s="1"/>
  <c r="I15" i="20"/>
  <c r="H15" i="20"/>
  <c r="G15" i="20"/>
  <c r="G14" i="20"/>
  <c r="A8" i="20"/>
  <c r="J26" i="19"/>
  <c r="K26" i="19" s="1"/>
  <c r="L26" i="19" s="1"/>
  <c r="J25" i="19"/>
  <c r="K25" i="19" s="1"/>
  <c r="L25" i="19" s="1"/>
  <c r="J24" i="19"/>
  <c r="K24" i="19" s="1"/>
  <c r="L24" i="19" s="1"/>
  <c r="J23" i="19"/>
  <c r="K23" i="19" s="1"/>
  <c r="L23" i="19" s="1"/>
  <c r="J22" i="19"/>
  <c r="K22" i="19" s="1"/>
  <c r="L22" i="19" s="1"/>
  <c r="J21" i="19"/>
  <c r="K21" i="19" s="1"/>
  <c r="L21" i="19" s="1"/>
  <c r="J20" i="19"/>
  <c r="K20" i="19" s="1"/>
  <c r="L20" i="19" s="1"/>
  <c r="J19" i="19"/>
  <c r="K19" i="19" s="1"/>
  <c r="L19" i="19" s="1"/>
  <c r="J18" i="19"/>
  <c r="K18" i="19" s="1"/>
  <c r="L18" i="19" s="1"/>
  <c r="J17" i="19"/>
  <c r="K17" i="19" s="1"/>
  <c r="L17" i="19" s="1"/>
  <c r="J16" i="19"/>
  <c r="K16" i="19" s="1"/>
  <c r="L16" i="19" s="1"/>
  <c r="I15" i="19"/>
  <c r="H15" i="19"/>
  <c r="G15" i="19"/>
  <c r="G14" i="19"/>
  <c r="A8" i="19"/>
  <c r="J22" i="18"/>
  <c r="K22" i="18" s="1"/>
  <c r="L22" i="18" s="1"/>
  <c r="J21" i="18"/>
  <c r="K21" i="18" s="1"/>
  <c r="L21" i="18" s="1"/>
  <c r="J20" i="18"/>
  <c r="K20" i="18" s="1"/>
  <c r="L20" i="18" s="1"/>
  <c r="J19" i="18"/>
  <c r="K19" i="18" s="1"/>
  <c r="L19" i="18" s="1"/>
  <c r="J18" i="18"/>
  <c r="K18" i="18" s="1"/>
  <c r="L18" i="18" s="1"/>
  <c r="J17" i="18"/>
  <c r="K17" i="18" s="1"/>
  <c r="L17" i="18" s="1"/>
  <c r="J16" i="18"/>
  <c r="K16" i="18" s="1"/>
  <c r="L16" i="18" s="1"/>
  <c r="I15" i="18"/>
  <c r="H15" i="18"/>
  <c r="G15" i="18"/>
  <c r="G14" i="18"/>
  <c r="A8" i="18"/>
  <c r="J35" i="17"/>
  <c r="K35" i="17" s="1"/>
  <c r="L35" i="17" s="1"/>
  <c r="J34" i="17"/>
  <c r="K34" i="17" s="1"/>
  <c r="L34" i="17" s="1"/>
  <c r="J33" i="17"/>
  <c r="K33" i="17" s="1"/>
  <c r="L33" i="17" s="1"/>
  <c r="J32" i="17"/>
  <c r="K32" i="17" s="1"/>
  <c r="L32" i="17" s="1"/>
  <c r="J31" i="17"/>
  <c r="K31" i="17" s="1"/>
  <c r="L31" i="17" s="1"/>
  <c r="J30" i="17"/>
  <c r="K30" i="17" s="1"/>
  <c r="L30" i="17" s="1"/>
  <c r="J29" i="17"/>
  <c r="K29" i="17" s="1"/>
  <c r="L29" i="17" s="1"/>
  <c r="J28" i="17"/>
  <c r="K28" i="17" s="1"/>
  <c r="L28" i="17" s="1"/>
  <c r="J27" i="17"/>
  <c r="K27" i="17" s="1"/>
  <c r="L27" i="17" s="1"/>
  <c r="J26" i="17"/>
  <c r="K26" i="17" s="1"/>
  <c r="L26" i="17" s="1"/>
  <c r="J25" i="17"/>
  <c r="K25" i="17" s="1"/>
  <c r="L25" i="17" s="1"/>
  <c r="J24" i="17"/>
  <c r="K24" i="17" s="1"/>
  <c r="L24" i="17" s="1"/>
  <c r="J23" i="17"/>
  <c r="K23" i="17" s="1"/>
  <c r="L23" i="17" s="1"/>
  <c r="J22" i="17"/>
  <c r="K22" i="17" s="1"/>
  <c r="L22" i="17" s="1"/>
  <c r="J21" i="17"/>
  <c r="K21" i="17" s="1"/>
  <c r="L21" i="17" s="1"/>
  <c r="J20" i="17"/>
  <c r="K20" i="17" s="1"/>
  <c r="L20" i="17" s="1"/>
  <c r="J19" i="17"/>
  <c r="K19" i="17" s="1"/>
  <c r="L19" i="17" s="1"/>
  <c r="J18" i="17"/>
  <c r="K18" i="17" s="1"/>
  <c r="L18" i="17" s="1"/>
  <c r="J17" i="17"/>
  <c r="K17" i="17" s="1"/>
  <c r="L17" i="17" s="1"/>
  <c r="J16" i="17"/>
  <c r="K16" i="17" s="1"/>
  <c r="L16" i="17" s="1"/>
  <c r="I15" i="17"/>
  <c r="H15" i="17"/>
  <c r="G15" i="17"/>
  <c r="G14" i="17"/>
  <c r="A8" i="17"/>
  <c r="J33" i="16"/>
  <c r="K33" i="16" s="1"/>
  <c r="L33" i="16" s="1"/>
  <c r="J32" i="16"/>
  <c r="K32" i="16" s="1"/>
  <c r="L32" i="16" s="1"/>
  <c r="J31" i="16"/>
  <c r="K31" i="16" s="1"/>
  <c r="L31" i="16" s="1"/>
  <c r="J30" i="16"/>
  <c r="K30" i="16" s="1"/>
  <c r="L30" i="16" s="1"/>
  <c r="J29" i="16"/>
  <c r="K29" i="16" s="1"/>
  <c r="L29" i="16" s="1"/>
  <c r="J28" i="16"/>
  <c r="K28" i="16" s="1"/>
  <c r="L28" i="16" s="1"/>
  <c r="J27" i="16"/>
  <c r="K27" i="16" s="1"/>
  <c r="L27" i="16" s="1"/>
  <c r="J26" i="16"/>
  <c r="K26" i="16" s="1"/>
  <c r="L26" i="16" s="1"/>
  <c r="J25" i="16"/>
  <c r="K25" i="16" s="1"/>
  <c r="L25" i="16" s="1"/>
  <c r="J24" i="16"/>
  <c r="K24" i="16" s="1"/>
  <c r="L24" i="16" s="1"/>
  <c r="J23" i="16"/>
  <c r="K23" i="16" s="1"/>
  <c r="L23" i="16" s="1"/>
  <c r="J22" i="16"/>
  <c r="K22" i="16" s="1"/>
  <c r="L22" i="16" s="1"/>
  <c r="J21" i="16"/>
  <c r="K21" i="16" s="1"/>
  <c r="L21" i="16" s="1"/>
  <c r="J20" i="16"/>
  <c r="K20" i="16" s="1"/>
  <c r="L20" i="16" s="1"/>
  <c r="J19" i="16"/>
  <c r="K19" i="16" s="1"/>
  <c r="L19" i="16" s="1"/>
  <c r="J18" i="16"/>
  <c r="K18" i="16" s="1"/>
  <c r="L18" i="16" s="1"/>
  <c r="J17" i="16"/>
  <c r="K17" i="16" s="1"/>
  <c r="L17" i="16" s="1"/>
  <c r="J16" i="16"/>
  <c r="K16" i="16" s="1"/>
  <c r="L16" i="16" s="1"/>
  <c r="I15" i="16"/>
  <c r="H15" i="16"/>
  <c r="G15" i="16"/>
  <c r="G14" i="16"/>
  <c r="A8" i="16"/>
  <c r="J32" i="15"/>
  <c r="K32" i="15" s="1"/>
  <c r="L32" i="15" s="1"/>
  <c r="J31" i="15"/>
  <c r="K31" i="15" s="1"/>
  <c r="L31" i="15" s="1"/>
  <c r="J30" i="15"/>
  <c r="K30" i="15" s="1"/>
  <c r="L30" i="15" s="1"/>
  <c r="J29" i="15"/>
  <c r="K29" i="15" s="1"/>
  <c r="L29" i="15" s="1"/>
  <c r="J28" i="15"/>
  <c r="K28" i="15" s="1"/>
  <c r="L28" i="15" s="1"/>
  <c r="J27" i="15"/>
  <c r="K27" i="15" s="1"/>
  <c r="L27" i="15" s="1"/>
  <c r="J26" i="15"/>
  <c r="K26" i="15" s="1"/>
  <c r="L26" i="15" s="1"/>
  <c r="J25" i="15"/>
  <c r="K25" i="15" s="1"/>
  <c r="L25" i="15" s="1"/>
  <c r="J24" i="15"/>
  <c r="K24" i="15" s="1"/>
  <c r="L24" i="15" s="1"/>
  <c r="J23" i="15"/>
  <c r="K23" i="15" s="1"/>
  <c r="L23" i="15" s="1"/>
  <c r="J22" i="15"/>
  <c r="K22" i="15" s="1"/>
  <c r="L22" i="15" s="1"/>
  <c r="J21" i="15"/>
  <c r="K21" i="15" s="1"/>
  <c r="L21" i="15" s="1"/>
  <c r="J20" i="15"/>
  <c r="K20" i="15" s="1"/>
  <c r="L20" i="15" s="1"/>
  <c r="J19" i="15"/>
  <c r="K19" i="15" s="1"/>
  <c r="L19" i="15" s="1"/>
  <c r="J18" i="15"/>
  <c r="K18" i="15" s="1"/>
  <c r="L18" i="15" s="1"/>
  <c r="J17" i="15"/>
  <c r="K17" i="15" s="1"/>
  <c r="L17" i="15" s="1"/>
  <c r="J16" i="15"/>
  <c r="K16" i="15" s="1"/>
  <c r="L16" i="15" s="1"/>
  <c r="I15" i="15"/>
  <c r="H15" i="15"/>
  <c r="G15" i="15"/>
  <c r="G14" i="15"/>
  <c r="A8" i="15"/>
  <c r="J35" i="14"/>
  <c r="K35" i="14" s="1"/>
  <c r="L35" i="14" s="1"/>
  <c r="J34" i="14"/>
  <c r="K34" i="14" s="1"/>
  <c r="L34" i="14" s="1"/>
  <c r="J33" i="14"/>
  <c r="K33" i="14" s="1"/>
  <c r="L33" i="14" s="1"/>
  <c r="J32" i="14"/>
  <c r="K32" i="14" s="1"/>
  <c r="L32" i="14" s="1"/>
  <c r="J31" i="14"/>
  <c r="K31" i="14" s="1"/>
  <c r="L31" i="14" s="1"/>
  <c r="J30" i="14"/>
  <c r="K30" i="14" s="1"/>
  <c r="L30" i="14" s="1"/>
  <c r="J29" i="14"/>
  <c r="K29" i="14" s="1"/>
  <c r="L29" i="14" s="1"/>
  <c r="J28" i="14"/>
  <c r="K28" i="14" s="1"/>
  <c r="L28" i="14" s="1"/>
  <c r="J27" i="14"/>
  <c r="K27" i="14" s="1"/>
  <c r="L27" i="14" s="1"/>
  <c r="J26" i="14"/>
  <c r="K26" i="14" s="1"/>
  <c r="L26" i="14" s="1"/>
  <c r="J25" i="14"/>
  <c r="K25" i="14" s="1"/>
  <c r="L25" i="14" s="1"/>
  <c r="J24" i="14"/>
  <c r="K24" i="14" s="1"/>
  <c r="L24" i="14" s="1"/>
  <c r="J23" i="14"/>
  <c r="K23" i="14" s="1"/>
  <c r="L23" i="14" s="1"/>
  <c r="J22" i="14"/>
  <c r="K22" i="14" s="1"/>
  <c r="L22" i="14" s="1"/>
  <c r="J21" i="14"/>
  <c r="K21" i="14" s="1"/>
  <c r="L21" i="14" s="1"/>
  <c r="J20" i="14"/>
  <c r="K20" i="14" s="1"/>
  <c r="L20" i="14" s="1"/>
  <c r="J19" i="14"/>
  <c r="K19" i="14" s="1"/>
  <c r="L19" i="14" s="1"/>
  <c r="J18" i="14"/>
  <c r="K18" i="14" s="1"/>
  <c r="L18" i="14" s="1"/>
  <c r="J17" i="14"/>
  <c r="K17" i="14" s="1"/>
  <c r="L17" i="14" s="1"/>
  <c r="J16" i="14"/>
  <c r="K16" i="14" s="1"/>
  <c r="L16" i="14" s="1"/>
  <c r="I15" i="14"/>
  <c r="H15" i="14"/>
  <c r="G15" i="14"/>
  <c r="G14" i="14"/>
  <c r="A8" i="14"/>
  <c r="J30" i="13"/>
  <c r="K30" i="13" s="1"/>
  <c r="L30" i="13" s="1"/>
  <c r="J29" i="13"/>
  <c r="K29" i="13" s="1"/>
  <c r="L29" i="13" s="1"/>
  <c r="J28" i="13"/>
  <c r="K28" i="13" s="1"/>
  <c r="L28" i="13" s="1"/>
  <c r="J27" i="13"/>
  <c r="K27" i="13" s="1"/>
  <c r="L27" i="13" s="1"/>
  <c r="J26" i="13"/>
  <c r="K26" i="13" s="1"/>
  <c r="L26" i="13" s="1"/>
  <c r="J25" i="13"/>
  <c r="K25" i="13" s="1"/>
  <c r="L25" i="13" s="1"/>
  <c r="J24" i="13"/>
  <c r="K24" i="13" s="1"/>
  <c r="L24" i="13" s="1"/>
  <c r="J23" i="13"/>
  <c r="K23" i="13" s="1"/>
  <c r="L23" i="13" s="1"/>
  <c r="J22" i="13"/>
  <c r="K22" i="13" s="1"/>
  <c r="L22" i="13" s="1"/>
  <c r="J21" i="13"/>
  <c r="K21" i="13" s="1"/>
  <c r="L21" i="13" s="1"/>
  <c r="J20" i="13"/>
  <c r="K20" i="13" s="1"/>
  <c r="L20" i="13" s="1"/>
  <c r="J19" i="13"/>
  <c r="K19" i="13" s="1"/>
  <c r="L19" i="13" s="1"/>
  <c r="J18" i="13"/>
  <c r="K18" i="13" s="1"/>
  <c r="L18" i="13" s="1"/>
  <c r="J17" i="13"/>
  <c r="K17" i="13" s="1"/>
  <c r="L17" i="13" s="1"/>
  <c r="J16" i="13"/>
  <c r="K16" i="13" s="1"/>
  <c r="L16" i="13" s="1"/>
  <c r="I15" i="13"/>
  <c r="H15" i="13"/>
  <c r="G15" i="13"/>
  <c r="G14" i="13"/>
  <c r="A8" i="13"/>
  <c r="J27" i="12"/>
  <c r="K27" i="12" s="1"/>
  <c r="L27" i="12" s="1"/>
  <c r="J26" i="12"/>
  <c r="K26" i="12" s="1"/>
  <c r="L26" i="12" s="1"/>
  <c r="K25" i="12"/>
  <c r="L25" i="12" s="1"/>
  <c r="K24" i="12"/>
  <c r="L24" i="12" s="1"/>
  <c r="J23" i="12"/>
  <c r="K23" i="12" s="1"/>
  <c r="L23" i="12" s="1"/>
  <c r="J22" i="12"/>
  <c r="K22" i="12" s="1"/>
  <c r="L22" i="12" s="1"/>
  <c r="J21" i="12"/>
  <c r="K21" i="12" s="1"/>
  <c r="L21" i="12" s="1"/>
  <c r="J20" i="12"/>
  <c r="K20" i="12" s="1"/>
  <c r="L20" i="12" s="1"/>
  <c r="J19" i="12"/>
  <c r="K19" i="12" s="1"/>
  <c r="L19" i="12" s="1"/>
  <c r="J18" i="12"/>
  <c r="K18" i="12" s="1"/>
  <c r="L18" i="12" s="1"/>
  <c r="J17" i="12"/>
  <c r="K17" i="12" s="1"/>
  <c r="L17" i="12" s="1"/>
  <c r="J16" i="12"/>
  <c r="K16" i="12" s="1"/>
  <c r="L16" i="12" s="1"/>
  <c r="I15" i="12"/>
  <c r="H15" i="12"/>
  <c r="G15" i="12"/>
  <c r="G14" i="12"/>
  <c r="A8" i="12"/>
  <c r="J22" i="11"/>
  <c r="K22" i="11" s="1"/>
  <c r="L22" i="11" s="1"/>
  <c r="J21" i="11"/>
  <c r="K21" i="11" s="1"/>
  <c r="L21" i="11" s="1"/>
  <c r="J20" i="11"/>
  <c r="K20" i="11" s="1"/>
  <c r="L20" i="11" s="1"/>
  <c r="J19" i="11"/>
  <c r="K19" i="11" s="1"/>
  <c r="L19" i="11" s="1"/>
  <c r="J18" i="11"/>
  <c r="K18" i="11" s="1"/>
  <c r="L18" i="11" s="1"/>
  <c r="J17" i="11"/>
  <c r="K17" i="11" s="1"/>
  <c r="L17" i="11" s="1"/>
  <c r="I15" i="11"/>
  <c r="H15" i="11"/>
  <c r="G15" i="11"/>
  <c r="G14" i="11"/>
  <c r="A8" i="11"/>
  <c r="K19" i="10"/>
  <c r="L19" i="10" s="1"/>
  <c r="J18" i="10"/>
  <c r="K18" i="10" s="1"/>
  <c r="L18" i="10" s="1"/>
  <c r="J17" i="10"/>
  <c r="K17" i="10" s="1"/>
  <c r="L17" i="10" s="1"/>
  <c r="J16" i="10"/>
  <c r="K16" i="10" s="1"/>
  <c r="L16" i="10" s="1"/>
  <c r="I15" i="10"/>
  <c r="H15" i="10"/>
  <c r="G15" i="10"/>
  <c r="G14" i="10"/>
  <c r="A8" i="10"/>
  <c r="J35" i="9" l="1"/>
  <c r="K35" i="9" s="1"/>
  <c r="L35" i="9" s="1"/>
  <c r="J34" i="9"/>
  <c r="K34" i="9" s="1"/>
  <c r="L34" i="9" s="1"/>
  <c r="J33" i="9"/>
  <c r="K33" i="9" s="1"/>
  <c r="L33" i="9" s="1"/>
  <c r="J32" i="9"/>
  <c r="K32" i="9" s="1"/>
  <c r="L32" i="9" s="1"/>
  <c r="J31" i="9"/>
  <c r="K31" i="9" s="1"/>
  <c r="L31" i="9" s="1"/>
  <c r="J30" i="9"/>
  <c r="K30" i="9" s="1"/>
  <c r="L30" i="9" s="1"/>
  <c r="J29" i="9"/>
  <c r="K29" i="9" s="1"/>
  <c r="L29" i="9" s="1"/>
  <c r="J28" i="9"/>
  <c r="K28" i="9" s="1"/>
  <c r="L28" i="9" s="1"/>
  <c r="J27" i="9"/>
  <c r="K27" i="9" s="1"/>
  <c r="L27" i="9" s="1"/>
  <c r="J26" i="9"/>
  <c r="K26" i="9" s="1"/>
  <c r="L26" i="9" s="1"/>
  <c r="J25" i="9"/>
  <c r="K25" i="9" s="1"/>
  <c r="L25" i="9" s="1"/>
  <c r="J24" i="9"/>
  <c r="K24" i="9" s="1"/>
  <c r="L24" i="9" s="1"/>
  <c r="J23" i="9"/>
  <c r="K23" i="9" s="1"/>
  <c r="L23" i="9" s="1"/>
  <c r="J22" i="9"/>
  <c r="K22" i="9" s="1"/>
  <c r="L22" i="9" s="1"/>
  <c r="J21" i="9"/>
  <c r="K21" i="9" s="1"/>
  <c r="L21" i="9" s="1"/>
  <c r="J20" i="9"/>
  <c r="K20" i="9" s="1"/>
  <c r="L20" i="9" s="1"/>
  <c r="J19" i="9"/>
  <c r="K19" i="9" s="1"/>
  <c r="L19" i="9" s="1"/>
  <c r="J18" i="9"/>
  <c r="K18" i="9" s="1"/>
  <c r="L18" i="9" s="1"/>
  <c r="J17" i="9"/>
  <c r="K17" i="9" s="1"/>
  <c r="L17" i="9" s="1"/>
  <c r="J16" i="9"/>
  <c r="K16" i="9" s="1"/>
  <c r="L16" i="9" s="1"/>
  <c r="I15" i="9"/>
  <c r="H15" i="9"/>
  <c r="G15" i="9"/>
  <c r="G14" i="9"/>
  <c r="A8" i="9"/>
  <c r="H15" i="8"/>
  <c r="G15" i="8"/>
  <c r="G14" i="8"/>
  <c r="A8" i="8"/>
  <c r="J17" i="8"/>
  <c r="K17" i="8" s="1"/>
  <c r="L17" i="8" s="1"/>
  <c r="J18" i="8"/>
  <c r="K18" i="8" s="1"/>
  <c r="L18" i="8" s="1"/>
  <c r="J19" i="8"/>
  <c r="K19" i="8" s="1"/>
  <c r="L19" i="8" s="1"/>
  <c r="J20" i="8"/>
  <c r="K20" i="8" s="1"/>
  <c r="L20" i="8" s="1"/>
  <c r="J16" i="8"/>
  <c r="K16" i="8" s="1"/>
  <c r="L16" i="8" s="1"/>
</calcChain>
</file>

<file path=xl/sharedStrings.xml><?xml version="1.0" encoding="utf-8"?>
<sst xmlns="http://schemas.openxmlformats.org/spreadsheetml/2006/main" count="1534" uniqueCount="914">
  <si>
    <t>Período</t>
  </si>
  <si>
    <t>Instituto de Estabilización de Precios</t>
  </si>
  <si>
    <t>Planificación y Desarrollo</t>
  </si>
  <si>
    <t xml:space="preserve">INSTITUTO DE ESTABILIZACIÓN DE PRECIOS </t>
  </si>
  <si>
    <t>Creado mediante la Ley 526 del 11 de diciembre 1969.</t>
  </si>
  <si>
    <t xml:space="preserve">Dirección Ejecutiva
---------------------------------------------------------------------------------------------------------------------------------------------------------------------------------------------------------------------------------------------------------------------------------------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</si>
  <si>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</si>
  <si>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</si>
  <si>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Ing. Luis Federico De Jesús Saviñón
</t>
    </r>
    <r>
      <rPr>
        <sz val="11"/>
        <color indexed="8"/>
        <rFont val="Times New Roman"/>
        <family val="1"/>
      </rPr>
      <t>Director de Agropecuaria, Normas y Tecnología Alimentaria</t>
    </r>
  </si>
  <si>
    <r>
      <t xml:space="preserve">Lic. Lino Fulgencio
</t>
    </r>
    <r>
      <rPr>
        <sz val="11"/>
        <color indexed="8"/>
        <rFont val="Times New Roman"/>
        <family val="1"/>
      </rPr>
      <t xml:space="preserve">Sub-Director </t>
    </r>
  </si>
  <si>
    <r>
      <t xml:space="preserve">Lic. Huáscar Prestol
</t>
    </r>
    <r>
      <rPr>
        <sz val="11"/>
        <color indexed="8"/>
        <rFont val="Times New Roman"/>
        <family val="1"/>
      </rPr>
      <t>Director de Recursos Humanos</t>
    </r>
  </si>
  <si>
    <r>
      <t xml:space="preserve">Ing. Richard Mercedes
</t>
    </r>
    <r>
      <rPr>
        <sz val="11"/>
        <color indexed="8"/>
        <rFont val="Times New Roman"/>
        <family val="1"/>
      </rPr>
      <t>Director de Comercialización</t>
    </r>
  </si>
  <si>
    <r>
      <t xml:space="preserve">Lic. Gustavo Valdez
</t>
    </r>
    <r>
      <rPr>
        <sz val="11"/>
        <color indexed="8"/>
        <rFont val="Times New Roman"/>
        <family val="1"/>
      </rPr>
      <t>Consultor Jurídico</t>
    </r>
  </si>
  <si>
    <r>
      <t xml:space="preserve">Equipo Técnico
</t>
    </r>
    <r>
      <rPr>
        <sz val="14"/>
        <color indexed="8"/>
        <rFont val="Times New Roman"/>
        <family val="1"/>
      </rPr>
      <t>-----------------------------------------------------------------------------------------------------------------------------------------------------------------------------------------------------------------------------------------------</t>
    </r>
  </si>
  <si>
    <r>
      <t xml:space="preserve">Lic. Ranci Danis
</t>
    </r>
    <r>
      <rPr>
        <sz val="11"/>
        <color indexed="8"/>
        <rFont val="Times New Roman"/>
        <family val="1"/>
      </rPr>
      <t>Analista</t>
    </r>
  </si>
  <si>
    <t>PROPÓSITOS DEL INESPRE</t>
  </si>
  <si>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</si>
  <si>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</si>
  <si>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t>Instituto de Estabilización de Precios (INESPRE)</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</si>
  <si>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</si>
  <si>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 xml:space="preserve">RESULTADOS ESPERADOS </t>
  </si>
  <si>
    <t>PRODUCTO</t>
  </si>
  <si>
    <t>ACTIVIDAD</t>
  </si>
  <si>
    <t>AREA RESPONSABLE</t>
  </si>
  <si>
    <t>AREA DE APOYO</t>
  </si>
  <si>
    <t>MEDIO VERIFICACIÓN</t>
  </si>
  <si>
    <t>RECOMENDACIONES/OBSERVACIONES</t>
  </si>
  <si>
    <t>DESCRIPCIÓN</t>
  </si>
  <si>
    <t>INDICADOR
PRODUCCION</t>
  </si>
  <si>
    <t>META</t>
  </si>
  <si>
    <t>PRIORIDAD</t>
  </si>
  <si>
    <t>Total ejecución</t>
  </si>
  <si>
    <t>% Ejecución</t>
  </si>
  <si>
    <t>% Acumulado</t>
  </si>
  <si>
    <t>Mejorar el buen desempeño profesional, aumentar el desarrollo del personal y el bienestar individual.</t>
  </si>
  <si>
    <t>Evaluación del Desempeño del Personal 2021.</t>
  </si>
  <si>
    <t>Plantilla de acuerdos de desempeño realizados.</t>
  </si>
  <si>
    <t>A</t>
  </si>
  <si>
    <t>Departamento de Evaluación del Desempeño y Capacitación.</t>
  </si>
  <si>
    <t>Todas las áreas institucionales.</t>
  </si>
  <si>
    <t>Informe de Resultados Evaluación del Desempeño.</t>
  </si>
  <si>
    <t>Plan de Capacitación 2021.</t>
  </si>
  <si>
    <t>No. de Plantillas de Capacitación.</t>
  </si>
  <si>
    <t>Fortalecer la Gestión Humana.</t>
  </si>
  <si>
    <t>Implementación del Sistema de Administración de Servidores Públicos (SASP).</t>
  </si>
  <si>
    <t>Implementación del SASP realizada.</t>
  </si>
  <si>
    <t>1 - Comunicación solicitud acompañamiento MAP.
2 - Solicitud base de datos servidores públicos a TIC.
3 - Envío datos al MAP.</t>
  </si>
  <si>
    <t>Departamento de Registro, Control y Nómina.</t>
  </si>
  <si>
    <t>- Dirección Ejecutiva.
- Dirección Administrativa Financiera.
- Departamento de Tecnologías de la Información y Comunicación.</t>
  </si>
  <si>
    <t>Programa anual de vacaciones 2021-2022.</t>
  </si>
  <si>
    <t>Informe anual de vacaciones.</t>
  </si>
  <si>
    <t>Preparación de Nómina.</t>
  </si>
  <si>
    <t>No. de Reportes de acciones de personal de nómina.</t>
  </si>
  <si>
    <t>- Dirección Ejecutiva.
- Dirección Administrativa Financiera.</t>
  </si>
  <si>
    <t>Elegir candidatos apropiados a las necesidades de la organización.</t>
  </si>
  <si>
    <t>Concursos para cargos de carrera.</t>
  </si>
  <si>
    <t>No. de concursos realizados.</t>
  </si>
  <si>
    <t>Departamento de Reclutamiento y Selección del Personal.</t>
  </si>
  <si>
    <t>Cubrir vacantes con personal necesario.</t>
  </si>
  <si>
    <t>Documento de designación de personal.</t>
  </si>
  <si>
    <t>B</t>
  </si>
  <si>
    <t>1 - Detección de necesidades de personal.
2 - Completar plantilla de Planificación de RRHH.
3 - Nombramiento del personal.</t>
  </si>
  <si>
    <t>Manual de Descripción de Cargos por Competencias.</t>
  </si>
  <si>
    <t>Manual de Descripción de Cargos actualizado y refrendado por el MAP.</t>
  </si>
  <si>
    <t>Departamento de Organización del Trabajo y Compensación.</t>
  </si>
  <si>
    <t>Planificación de Recursos Humanos.</t>
  </si>
  <si>
    <t>Plantilla de Planificación de Recursos Humanos.</t>
  </si>
  <si>
    <t>Departamento de Planificación y Desarrollo.</t>
  </si>
  <si>
    <t>Aplicación de las Políticas de Compensación y Beneficios.</t>
  </si>
  <si>
    <t>Informe de ejecución de las Políticas de Compensación y Beneficios.</t>
  </si>
  <si>
    <t>1 - Socializar las Políticas de Compensación y Beneficios.
2 - Verificar al personal a reconocer.
3 - Identificar medios para el reconocimiento.
4 - Reconocer al personal.</t>
  </si>
  <si>
    <t>- Departamento de Planificación y Desarrollo.
- Dirección Administrativa Financiera.</t>
  </si>
  <si>
    <t>Acta constitutiva.</t>
  </si>
  <si>
    <t>1 - Convocatoria a reunión a áreas determinadas en la guía.
2 - Determinar el Comité.
3 - Acta constitutiva.
4 - Inducción al Comité.
5 - Plan de trabajo.
6 - Socialización.</t>
  </si>
  <si>
    <t>División de Relaciones Laborales y Sociales.</t>
  </si>
  <si>
    <t>1 - Convocatoria a asamblea.
2 - Acta de asamblea.
3 - Validación de asamblea y resolución aprobatoria por el MAP.
4 - Socialización.</t>
  </si>
  <si>
    <t>Encuesta de Clima Organizacional.</t>
  </si>
  <si>
    <t>Informe de resultados.</t>
  </si>
  <si>
    <t>Comisión de Personal.</t>
  </si>
  <si>
    <t>Documento de designación del representante.</t>
  </si>
  <si>
    <t>1 - Reunión para determinar el representante de la MAE en la Comisión.
2 - Comunicación de la designación al MAP.</t>
  </si>
  <si>
    <t>Dirección Ejecutiva.</t>
  </si>
  <si>
    <t>Solicitud de pagos de prestaciones laborales y derechos adquiridos.</t>
  </si>
  <si>
    <t>No. de Informes con el cálculo de las prestaciones laborales y los derechos adquiridos.</t>
  </si>
  <si>
    <t>Dirección Administrativa Financiera.</t>
  </si>
  <si>
    <t>VISIÓN:
"Una República Dominicana con garantía de seguridad alimentaria, siendo como institución, parte de un sistema colaborativo entre instancias públicas y privadas del sector agropecuario".</t>
  </si>
  <si>
    <t>Nombre del área: Departamento de Seguridad Militar</t>
  </si>
  <si>
    <t>Nombre del área: Dirección Agropecuaria, Normas y Tecnología Alimentaria</t>
  </si>
  <si>
    <t>Eje Estratégico del PEI: 1. Establecimiento de esquemas de comercialización eficiente de productos agropecuarios.</t>
  </si>
  <si>
    <t>Nombre del área: Dirección de Abastecimiento, Distribución y Logística</t>
  </si>
  <si>
    <t>Nombre del área: Dirección de Comercialización</t>
  </si>
  <si>
    <t>Nombre del área: Dirección de Gestión de Programas</t>
  </si>
  <si>
    <t>Nombre del área: Dirección Ejecutiva</t>
  </si>
  <si>
    <t>Eje Estratégico del PEI: 2. Organización interna y aumento de la capacidad institucional.</t>
  </si>
  <si>
    <t>Nombre del área: Departamento de Comunicaciones</t>
  </si>
  <si>
    <t>Nombre del área: Departamento de Normas, Sistemas, Supervisión y Seguimiento</t>
  </si>
  <si>
    <t>Nombre del área: Departamento de Planificación y Desarrollo</t>
  </si>
  <si>
    <t>Nombre del área: Departamento de Tecnologías de la Información y Comunicación</t>
  </si>
  <si>
    <t>Nombre del área: Departamento Jurídico</t>
  </si>
  <si>
    <t>Nombre del área: Dirección Administrativa Financiera</t>
  </si>
  <si>
    <t>Nombre del área: Dirección de Recursos Humanos</t>
  </si>
  <si>
    <t>Nombre del área: Oficina de Libre Acceso a la Información</t>
  </si>
  <si>
    <t xml:space="preserve">Seguir prestando eficientemente la labor de la seguridad a las Bodegas Móviles, las Plantas Físicas, las diferentes gerencias y las propiedades que pertenecen a la Institución en el territorio nacional.   </t>
  </si>
  <si>
    <t>Seguridad Militar a las Plantas Físicas.</t>
  </si>
  <si>
    <t>No. de Servicios Realizados.</t>
  </si>
  <si>
    <t>Seguridad Militar a las Bodegas Móviles.</t>
  </si>
  <si>
    <t>1 - Planificar la seguridad que se brindará a las Bodegas Móviles.
2 - Organizar los militares que llevarán a cabo los servicios.
3 - Ejecutar los servicios programados.</t>
  </si>
  <si>
    <t>Seguridad Militar a los Agromercados.</t>
  </si>
  <si>
    <t>Seguridad Militar a los Funcionarios.</t>
  </si>
  <si>
    <t>No. de Militares Asignados.</t>
  </si>
  <si>
    <t>Seguridad Militar a Camiones de Abastecimiento.</t>
  </si>
  <si>
    <t>Departamento de Seguridad Militar.</t>
  </si>
  <si>
    <t>-</t>
  </si>
  <si>
    <t>1 - Hoja de análisis de los militares en servicios.                    
2 - Listado de personal militar asignado a cada planta.
3 - Militares asignados a cada planta.</t>
  </si>
  <si>
    <t>Dirección de Gestión de Programas.</t>
  </si>
  <si>
    <t>1 - Hoja de análisis de los militares en servicios.                    
2 - Listado de personal militar asignado a cada bodega.
3 - Militares asignados a cada bodega.</t>
  </si>
  <si>
    <t>1 - Hoja de análisis de los militares en servicios.                    
2 - Listado de personal militar asignado a cada Agromercado.
3 - Militares asignados a cada Agromercado.</t>
  </si>
  <si>
    <t>Todas las Áreas Institucionales.</t>
  </si>
  <si>
    <t>1 - Hoja de análisis de los militares en servicios.                    
2 - Listado de personal militar asignado a cada funcionario.
3 - Militares asignados a cada funcionario.</t>
  </si>
  <si>
    <t>1 - Hoja de análisis de los militares en servicios.                    
2 - Listado de personal militar asignado a cada camión de abastecimiento.
3 - Militares asignados a cada camión de abastecimiento.</t>
  </si>
  <si>
    <r>
      <t>1 - Planificar la seguridad que se brindará a las plantas.</t>
    </r>
    <r>
      <rPr>
        <b/>
        <sz val="12"/>
        <color rgb="FF000000"/>
        <rFont val="Calibri"/>
        <family val="2"/>
        <scheme val="minor"/>
      </rPr>
      <t xml:space="preserve">         </t>
    </r>
    <r>
      <rPr>
        <sz val="12"/>
        <color rgb="FF000000"/>
        <rFont val="Calibri"/>
        <family val="2"/>
        <scheme val="minor"/>
      </rPr>
      <t xml:space="preserve">
2 - Organizar los militares que llevarán a cabo los servicios.
3 - Ejecutar los servicios programados.</t>
    </r>
  </si>
  <si>
    <r>
      <t>1 - Planificar la seguridad que se brindará a los Agromercados.</t>
    </r>
    <r>
      <rPr>
        <b/>
        <sz val="12"/>
        <color rgb="FF000000"/>
        <rFont val="Calibri"/>
        <family val="2"/>
        <scheme val="minor"/>
      </rPr>
      <t xml:space="preserve">         </t>
    </r>
    <r>
      <rPr>
        <sz val="12"/>
        <color rgb="FF000000"/>
        <rFont val="Calibri"/>
        <family val="2"/>
        <scheme val="minor"/>
      </rPr>
      <t xml:space="preserve">
2 - Organizar los militares que llevarán a cabo los servicios.
3 - Ejecutar los servicios programados.</t>
    </r>
  </si>
  <si>
    <r>
      <t>1 - Planificar la seguridad que se brindará a los funcionarios.</t>
    </r>
    <r>
      <rPr>
        <b/>
        <sz val="12"/>
        <color rgb="FF000000"/>
        <rFont val="Calibri"/>
        <family val="2"/>
        <scheme val="minor"/>
      </rPr>
      <t xml:space="preserve">         </t>
    </r>
    <r>
      <rPr>
        <sz val="12"/>
        <color rgb="FF000000"/>
        <rFont val="Calibri"/>
        <family val="2"/>
        <scheme val="minor"/>
      </rPr>
      <t xml:space="preserve">
2 - Organizar los militares que llevarán a cabo los servicios.
3 - Ejecutar los servicios programados.</t>
    </r>
  </si>
  <si>
    <r>
      <t>1 - Planificar la seguridad que se brindará a los camiones de abastecimiento.</t>
    </r>
    <r>
      <rPr>
        <b/>
        <sz val="12"/>
        <color rgb="FF000000"/>
        <rFont val="Calibri"/>
        <family val="2"/>
        <scheme val="minor"/>
      </rPr>
      <t xml:space="preserve">         </t>
    </r>
    <r>
      <rPr>
        <sz val="12"/>
        <color rgb="FF000000"/>
        <rFont val="Calibri"/>
        <family val="2"/>
        <scheme val="minor"/>
      </rPr>
      <t xml:space="preserve">
2 - Organizar los militares que llevarán a cabo los servicios.
3 - Ejecutar los servicios programados.</t>
    </r>
  </si>
  <si>
    <t>Adiestrar tanto a Productores como Técnicos Agropecuarios para que estos sean más eficientes en sus labores de Comercialización.</t>
  </si>
  <si>
    <t>Capacitación a Asociaciones de Productores y a Cooperativas en Normas Técnicas de Calidad e Inocuidad.</t>
  </si>
  <si>
    <t>No. de Talleres realizados.</t>
  </si>
  <si>
    <t>1 - Solicitud de capacitación.
2 - Aprobación de capacitación.
3 - Notificación a asociaciones y cooperativas de pequeños y medianos productores.
4 - Llevar a cabo la capacitación.</t>
  </si>
  <si>
    <t>No. de Productores capacitados.</t>
  </si>
  <si>
    <t>Capacitación a Asociaciones y Cooperativas de pequeños y medianos productores sobre el proceso del Plan de Comercialización del INESPRE.</t>
  </si>
  <si>
    <t>Capacitación de Productores en Aspectos de Estándares de Calidad, Manejo de Post-Cosecha y Manejo de Productos Agropecuarios.</t>
  </si>
  <si>
    <t>1 - Solicitud de capacitación.
2 - Aprobación de capacitación.
3 - Notificación a productores.
4 - Llevar a cabo la capacitación.</t>
  </si>
  <si>
    <t>No. de Productores Agrícolas capacitados.</t>
  </si>
  <si>
    <t>Capacitación a Técnicos en Técnicas de Recepción y Almacenamiento de Productos Agrícolas (BPA).</t>
  </si>
  <si>
    <t>1 - Solicitud de capacitación.
2 - Aprobación de capacitación.
3 - Notificación a técnicos.
4 - Llevar a cabo la capacitación.</t>
  </si>
  <si>
    <t>No. de Técnicos capacitados.</t>
  </si>
  <si>
    <t>Capacitación de Técnicos en Aspectos Relativos a los Controles y Normas de la Aplicación de Plaguicidas en el Sector Agrícola.</t>
  </si>
  <si>
    <t>Tener la garantía de que las Áreas cumplen con los Estándares de Inocuidad para la Comercialización en el Sector Agrícola.</t>
  </si>
  <si>
    <t>Validación y Verificación de Limpiezas y Desinfección en Áreas de Comercialización y de Productos.</t>
  </si>
  <si>
    <t>No. de Validaciones.</t>
  </si>
  <si>
    <t>1 - Inspección del personal de producción bajo las normas de inocuidad.
2 - Validar los procedimientos de limpieza e higiene de productos locales.
3 - Definir estándares de Buenas Prácticas Agrícolas (BPA).</t>
  </si>
  <si>
    <t>Mejorar la competencia de los productores agropecuarios afiliados.</t>
  </si>
  <si>
    <t>Programa de afiliación de productores individuales, dando especial atención a mujeres y jóvenes.</t>
  </si>
  <si>
    <t>No. de Talleres realizados en Asociaciones de Mujeres.</t>
  </si>
  <si>
    <t>1 - Visita de orientación.</t>
  </si>
  <si>
    <t>No. De Asociaciones de Mujeres.</t>
  </si>
  <si>
    <t>No. de Mujeres entrenadas.</t>
  </si>
  <si>
    <t>No. de Talleres realizados en Asociaciones de jóvenes entre 18 y 24 años.</t>
  </si>
  <si>
    <t>No. de Asociaciones de jóvenes entre 18 y 24 años.</t>
  </si>
  <si>
    <t>No. de jóvenes entrenados entre 18 y 24 años.</t>
  </si>
  <si>
    <t>Preservar la Calidad de Vida de los diferentes Colaboradores del INESPRE, así como del Medio Ambiente.</t>
  </si>
  <si>
    <t>Programación de Control y Seguimiento de Aplicación de Normas de Plaguicidas.</t>
  </si>
  <si>
    <t>No. de Controles de Aplicación de Plaguicidas a realizar.</t>
  </si>
  <si>
    <t>1 - Inspección de productos almacenados.
2 - Coordinar con todas las instancias y dependencias las actividades de control de plagas.
3 - Validación de la actividad.</t>
  </si>
  <si>
    <t>Certificar las Condiciones Óptimas de los Productos Agropecuarios y Agroindustriales.</t>
  </si>
  <si>
    <t>Certificación de calidad e inocuidad (MP-1)  de los productos agropecuarios.</t>
  </si>
  <si>
    <t xml:space="preserve">No. de Certificaciones (MP-1) Análisis de Laboratorio de Productos Agropecuarios expedidos.                          </t>
  </si>
  <si>
    <t xml:space="preserve">1 - Recepción de productos agropecuarios.
2 - Análisis de productos agropecuarios.
3 - Decomisos de productos agropecuarios.    </t>
  </si>
  <si>
    <t>Expedición de Certificaciones de calidad e inocuidad de sus productos agropecuarios a otras instituciones.</t>
  </si>
  <si>
    <t xml:space="preserve">No. de Certificaciones de calidad e inocuidad (externa).                        </t>
  </si>
  <si>
    <t xml:space="preserve">1 - Recepción de muestras.
2 - Análisis de laboratorio.
3 - Entrega de la certificación.  </t>
  </si>
  <si>
    <t>Contar con equipos analíticos modernos para realizar mejor las labores de categorización de productos agrícolas.</t>
  </si>
  <si>
    <t>Solicitud de Compra de Equipos Analíticos Modernos para la Certificación de Productos Agropecuarios.</t>
  </si>
  <si>
    <t>No. de Equipos solicitados y comprados.</t>
  </si>
  <si>
    <t>1 - Realizar el levantamiento de equipos necesarios para analizar productos agropecuarios.
2 - Solicitar los equipos analíticos.
3 - Adquirir equipos.</t>
  </si>
  <si>
    <t>- Dirección Agropecuaria, Normas y Tecnología Alimentaria.
- Departamento de Normas Técnicas y Estándares de Calidad.
- Departamento de Inocuidad Agroalimentaria.</t>
  </si>
  <si>
    <t>- Sección de Protocolo.
- Departamento Administrativo.
- División de Compras y Contrataciones.
- Departamento de Comunicaciones.</t>
  </si>
  <si>
    <t>1 - Programar las capacitaciones.
2 - Calendario de actividades.
3 - Comunicación formal.
4 - Informe, listado de participantes y fotos.</t>
  </si>
  <si>
    <t>Dadas las características de estos talleres, deben ser regionales.</t>
  </si>
  <si>
    <t>- Dirección Agropecuaria, Normas y Tecnología Alimentaria.
-  Departamento de Formación en Comercialización Agropecuaria.
- Departamento de Servicios Agropecuarios.</t>
  </si>
  <si>
    <t>- Dirección Agropecuaria, Normas y Tecnología Alimentaria.
- Departamento de Formación en Comercialización Agropecuaria.</t>
  </si>
  <si>
    <t>- Dirección Agropecuaria, Normas y Tecnología Alimentaria.
- Departamento de Servicios Agropecuarios.
- Departamento de Normas Técnicas y Estándares de Calidad.</t>
  </si>
  <si>
    <t>- Dirección Agropecuaria, Normas y Tecnología Alimentaria.
- Departamento de Formación en Comercialización Agropecuaria.
- Departamento de Operaciones.</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</si>
  <si>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</si>
  <si>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</si>
  <si>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1 - Informes y fotos.
2 - Informes.
3 - Informes.</t>
  </si>
  <si>
    <t>- Dirección Agropecuaria, Normas y Tecnología Alimentaria.
- Departamento de Formación en Comercialización Agropecuaria.
- Departamento de Servicios Agropecuarios (División de Afiliación).</t>
  </si>
  <si>
    <t>- Departamento Administrativo.
- Departamento de Planificación y Desarrollo.
- Protocolo.</t>
  </si>
  <si>
    <t>1 - Informe Relación de participantes y fotos.</t>
  </si>
  <si>
    <t>- Dirección Agropecuaria, Normas y Tecnología Alimentaria.
- Departamento de Operaciones.</t>
  </si>
  <si>
    <t>- Departamento de Normas Técnicas y Estándares de Calidad.
- Departamento de Inocuidad Agroalimentaria.
- Departamento Administrativo.</t>
  </si>
  <si>
    <t>1 - Ficha sobre control de almacenamiento.
2 - Calendario de actividades.
3 - Ficha de comprobación.</t>
  </si>
  <si>
    <t>- Dirección Agropecuaria, Normas y Tecnología Alimentaria.
- Departamento de Normas Técnicas y Estándares de Calidad.</t>
  </si>
  <si>
    <t>- Departamento de Inocuidad Agroalimentaria.
- Departamento de Servicios Agropecuarios.
- Departamento de Operaciones.</t>
  </si>
  <si>
    <t>1,2,3 - Formulario MP-1 para la certificación del producto.</t>
  </si>
  <si>
    <t>Según cronograma de requisición de productos de la Dirección de Comercialización.</t>
  </si>
  <si>
    <t>- Departamento de Inocuidad Agroalimentaria.
- Departamento de Servicios Agropecuarios.</t>
  </si>
  <si>
    <t>N/A.</t>
  </si>
  <si>
    <t>- Departamento Administrativo.
- División de Compras y Contrataciones.
- Departamento de Planificación y Desarrollo.</t>
  </si>
  <si>
    <t>1 - Relación de necesidades y/o requerimientos, listado de necesidades.
2 - Solicitud a través del formulario administrativo.
3 - Equipos comprados.</t>
  </si>
  <si>
    <t>Proveer de productos a los canales de comercialización y almacenes regionales para que estos lleguen a las comunidades de escasos recursos con productos de calidad en el tiempo requerido.</t>
  </si>
  <si>
    <t>Abastecimiento de Almacenes Regionales.</t>
  </si>
  <si>
    <t>No. de Servicios de Abastecimiento.</t>
  </si>
  <si>
    <t>1 - Planificar la logística de abastecimiento y distribución de los productos.
2 - Abastecer productos y ejecutar ruta almacenes regionales.</t>
  </si>
  <si>
    <t>Abastecimiento de Bodegas Móviles.</t>
  </si>
  <si>
    <t>No. de Bodegas Móviles Abastecidas.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</si>
  <si>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</si>
  <si>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Abastecimiento de Ferias Agropecuarias.</t>
  </si>
  <si>
    <t>No. de Ferias Agropecuarias Abastecidas.</t>
  </si>
  <si>
    <t>C</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</si>
  <si>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</si>
  <si>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Abastecimiento de Redes de Agromercados.</t>
  </si>
  <si>
    <t>No. de Agromercados Abastecidos al final del año.</t>
  </si>
  <si>
    <t>1 - Planificar la logística de abastecimiento de los Agromercados.
2 - Solicitar y gestionar los recursos económicos al área financiera.
3 - Preparar la logística de los locales.</t>
  </si>
  <si>
    <t>Dirección de Abastecimiento, Distribución y Logística.</t>
  </si>
  <si>
    <t>- Dirección de Comercialización.
- Dirección de Gestión de Programas.
- Dirección Agropecuaria, Normas y Tecnología Alimentaria.
- Dirección Administrativa Financiera.</t>
  </si>
  <si>
    <t>1 - Programa semanal de abastecimiento y distribución.
2 - Reporte diario de abastecimiento y distribución.</t>
  </si>
  <si>
    <t xml:space="preserve">1 - Programa semanal de abastecimiento y distribución.
2 - Reporte diario de abastecimiento y distribución.
3 - Documento de carga/descarga diario.
4 - Programa semanal de abastecimiento y distribución. </t>
  </si>
  <si>
    <t>1  - Programa de abastecimiento de los Agromercados. 
2 - Solicitud de recursos económicos.
3 - Programa de logística de los locales.</t>
  </si>
  <si>
    <t>Dar fiel cumplimiento a las políticas de requerimientos de compras de los Rubros Agropecuarios para su venta y distribución en los Canales de Comercialización de acuerdo con lo establecido en los Manuales de Procedimientos.</t>
  </si>
  <si>
    <t>Requerimientos de Compras de Productos en el 2021.</t>
  </si>
  <si>
    <t>Cantidad de Requerimientos de Compras de Productos en el 2021 entregados a la División de Compras y Contrataciones.</t>
  </si>
  <si>
    <t>1 - Investigar los componentes de la Canasta Básica Familiar.
2 - Seleccionar los Rubros Agropecuarios y la cantidad que se va a comprar de acuerdo a la programación.
3 - Investigación y fijación de precios.</t>
  </si>
  <si>
    <t>Estabilizar los precios de los Rubros Agropecuarios comercializados en el mercado nacional.</t>
  </si>
  <si>
    <t>Fijación de Precios.</t>
  </si>
  <si>
    <t>No. de Informes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</si>
  <si>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</si>
  <si>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 xml:space="preserve">Ofertar a la población productos aptos e inocuos y la obtención de mejores precios.
Facilitar la comercialización directa entre el productor y el consumidor final. </t>
  </si>
  <si>
    <t>Gestión de Proveedores.</t>
  </si>
  <si>
    <t>No. de invitaciones a Productores Agropecuarios para su participación en las Ferias Agropecuarias.</t>
  </si>
  <si>
    <t>1 - Crear y mantener actualizada una Base de Datos de los Principales Productores y sus respectivos Rubros Agropecuarios.                  
2 - Acordar con los Productores los precios de ventas de los Rubros Agropecuarios a comercializar.</t>
  </si>
  <si>
    <t>No. de invitaciones a Productores Agropecuarios para su participación en los Mercados de Productores.</t>
  </si>
  <si>
    <t>Agentes comerciales agropecuarios con acceso a información relevante del mercado.</t>
  </si>
  <si>
    <t>Boletín Estadístico de la Comercialización Agropecuaria.</t>
  </si>
  <si>
    <t>No. de Boletines emitidos.</t>
  </si>
  <si>
    <t>1 - Reportar los productos y sus respectivas cantidades comercializadas en el mes.</t>
  </si>
  <si>
    <t>Aumentar el volumen de comercialización de los productores agropecuarios.</t>
  </si>
  <si>
    <t>Desarrollo y capacitación de productores agropecuarios para la exportación.</t>
  </si>
  <si>
    <t>Cantidad de productores capacitados.</t>
  </si>
  <si>
    <t>1 - Crear una Base de Datos de los principales productores agropecuarios con capacidad para exportar.
2 - Coordinar con entidades externas para capacitar a productores con capacidad productiva de exportación.</t>
  </si>
  <si>
    <t xml:space="preserve">Ofertar a las Instituciones del Gobierno productos agropecuarios.
</t>
  </si>
  <si>
    <t xml:space="preserve">Programa de venta a instituciones del Gobierno </t>
  </si>
  <si>
    <t>Monto en Ventas.</t>
  </si>
  <si>
    <t>1 - Abastecer las Instituciones del Gobierno con los productos agropecuarios.</t>
  </si>
  <si>
    <t>Dirección de Comercialización.</t>
  </si>
  <si>
    <t>- Departamento de Planificación y Desarrollo.
- Dirección de Abastecimiento, Distribución y Logística.
- Dirección Agropecuaria, Normas y Tecnología Alimentaria.
- Dirección de Gestión de Programas.
- División de Compras y Contrataciones.</t>
  </si>
  <si>
    <t>1 - Documento de requerimientos de compras de productos e informes realizados.
2 - Plan de Compras.
3 - Plantillas de levantamientos de precios e informes.</t>
  </si>
  <si>
    <t xml:space="preserve">
- Dirección Agropecuaria, Normas y Tecnología Alimentaria.</t>
  </si>
  <si>
    <t>1 - Plantillas de levantamientos de precios e informes.
2 - Plantilla de Fijación de Precios, correo electrónico e informes.</t>
  </si>
  <si>
    <t xml:space="preserve">- Dirección de Gestión de Programas.
- Dirección Agropecuaria, Normas y Tecnología Alimentaria.
</t>
  </si>
  <si>
    <t>1 - Base de Datos de Productores y documentos de invitación.
2 - Comunicación escrita y correo electrónico.</t>
  </si>
  <si>
    <t>- Dirección de Gestión de Programas.                                               - División de Fiscalización.
- Dirección Ejecutiva.
- Departamento de Planificación y Desarrollo.</t>
  </si>
  <si>
    <t>1 - Formulario M-P 5 e informes.</t>
  </si>
  <si>
    <t>- Dirección Ejecutiva.
- Departamento Jurídico.
- Dirección Agropecuaria, Normas y Tecnología Alimentaria.
- Entidades Externas.</t>
  </si>
  <si>
    <t>1 - Base de Datos de productores.
2 - Acuerdos interinstitucionales e informes.</t>
  </si>
  <si>
    <t xml:space="preserve">
- Dirección Agropecuaria, Normas y Tecnología Alimentaria.
- Entidades Externas.</t>
  </si>
  <si>
    <t>1 - Facturas de venta.</t>
  </si>
  <si>
    <t>Ejecución de Mercados de Productores.</t>
  </si>
  <si>
    <t>No. de Mercados de Productores Ejecutados.</t>
  </si>
  <si>
    <t>1 - Programación y planificación de los mercados.
2 - Solicitar y gestionar los recursos económicos al área financiera.
3 - Levantamiento del lugar.
4 - Preparar la logística del lugar.</t>
  </si>
  <si>
    <t>No. de productores beneficiados.</t>
  </si>
  <si>
    <t>No. de Consumidores Beneficiados.</t>
  </si>
  <si>
    <t>Ejecución de Bodegas Móviles.</t>
  </si>
  <si>
    <t>No. de Bodegas Móviles Ejecutadas.</t>
  </si>
  <si>
    <t>1 - Programación y planificación de las bodegas.
2 - Solicitar y gestionar los recursos económicos al área financiera.
3 - Preparar la logística de las bodegas.</t>
  </si>
  <si>
    <t>Ejecución de Ferias Agropecuarias.</t>
  </si>
  <si>
    <t>No. de Ferias Agropecuarias Ejecutadas.</t>
  </si>
  <si>
    <t>1 - Programación y planificación de las ferias.
2 - Presentar a la MAE la programación de las ferias.
3 - Solicitar y gestionar los recursos económicos al área financiera.
4 - Levantamiento del lugar.
5 - Preparar la logística del lugar.</t>
  </si>
  <si>
    <t>Ejecución de Red de Agromercados.</t>
  </si>
  <si>
    <t>No. de Agromercados Ejecutados al final del año.</t>
  </si>
  <si>
    <t>1 - Programación y planificación de los agromercados.
2 - Dar a conocer a la MAE la programación de los agromercados.
3 - Solicitar y gestionar los recursos económicos al área financiera.
4 - Estudio del mercado.
5 - Preparar la logística de los locales.</t>
  </si>
  <si>
    <t>Medir el nivel de satisfacción de los servicios comprometidos a través de diferentes medios de comunicación.</t>
  </si>
  <si>
    <t>Carta de Compromiso al Ciudadano.</t>
  </si>
  <si>
    <t>No. de encuestas realizadas.</t>
  </si>
  <si>
    <t>1 - Recibir la muestra para el levantamiento de la encuesta.
2 - Recibir el cuestionario a realizar en la encuesta.
3 - Distribuir los cuestionarios por zonas.
4 - Recibir y enviar los cuestionarios al Departamento de Planificación y Desarrollo.</t>
  </si>
  <si>
    <t>- Dirección de Comercialización.
- Dirección de Abastecimiento, Distribución y Logística.
- Dirección Agropecuaria, Normas y Tecnología Alimentaria.</t>
  </si>
  <si>
    <t>1 - Programación Mercados de Productores.
2 - Presupuestos de Mercados Fijos, Transferencias de Mercados Fijos.
3 - Fotos.
4 - Relación de Pagos, Liquidación de Presupuestos.</t>
  </si>
  <si>
    <t>1 - Agenda Semanal, Programación Bodegas Móviles.
2 - Matriz de Gastos Operativos, Relación de Listados de los Departamentos de Transportación, Seguridad Militar y Bodegas Móviles.
3 - Ejecución Bodegas Móviles.</t>
  </si>
  <si>
    <t>1 - Programación Ferias Agropecuarias.
2 - Comunicación y Acta de Reunión.
3 - Matriz de gastos operativos.
4 - Fotos.
5 - Relación de Pagos.</t>
  </si>
  <si>
    <t>1 - Programación Agromercados.
2 - Comunicación y Acta de Reunión.
3 - Matriz de gastos operativos.
4 - Informes Estudios de Mercados.
5 - Fotos, Relación de pagos de los gastos.</t>
  </si>
  <si>
    <t>- Dirección Ejecutiva.
- Departamento de Planificación y Desarrollo.
- Departamento de Comunicaciones.</t>
  </si>
  <si>
    <t>1 - Correo electrónico de la División de Desarrollo Institucional y Calidad en la gestión.
2 - Correo electrónico del Departamento de Planificación.
3 - Carta de Entrega a los gerentes provinciales y regionales.
4 - Carta de envío y entrega al Departamento de Planificación y Desarrollo.</t>
  </si>
  <si>
    <t>Ejecutar de forma efectiva y eficaz los planes, proyectos, normas y procesos de nuevas regulaciones.</t>
  </si>
  <si>
    <t>Directorio Ejecutivo.</t>
  </si>
  <si>
    <t>No. de encuentros programados.</t>
  </si>
  <si>
    <t>1 - Coordinar fecha, hora y lugar donde se va a llevar a cabo el encuentro.
2 - Convocar miembros al Consejo Directorio Ejecutivo.
3 - Efectuar el encuentro.</t>
  </si>
  <si>
    <t>STAFF Ejecutivo.</t>
  </si>
  <si>
    <t>No. de reuniones.</t>
  </si>
  <si>
    <t>1 - Planificar la fecha, hora y lugar del encuentro.
2 - Convocatoria a los líderes de las direcciones y departamentos.
3 - Preparar agenda.</t>
  </si>
  <si>
    <t>Asegurar el abastecimiento de los productos para que no les falte a la población e impulsar el desarrollo agropecuario.</t>
  </si>
  <si>
    <t>Reuniones con el Ministro de Agricultura.</t>
  </si>
  <si>
    <t>No. de encuentros con la MAE.</t>
  </si>
  <si>
    <t>1 - Solicitar cita con el Ministro.
2 - Presentar Resultados y nuevos proyectos/programas de la Institución.
3 - Presentar status y ejecución de los programas actuales.</t>
  </si>
  <si>
    <t>Visitas a los productores.</t>
  </si>
  <si>
    <t>No. de visitas.</t>
  </si>
  <si>
    <t>1 - Planificar las visitas.
2 - Convocar a los acompañantes.
3 - Realizar las visitas y hacer levantamiento de las condiciones de sus productos.</t>
  </si>
  <si>
    <t>Montaje exitoso de las ferias propuestas.</t>
  </si>
  <si>
    <t>Coordinación para ejecución de Ferias Agropecuarias.</t>
  </si>
  <si>
    <t>No. de Ferias coordinadas.</t>
  </si>
  <si>
    <t>1 - Montaje  y preparación logística. 
2 - Invitación a los productores y participantes externos.
3 - Hacer requerimientos de lugar.
4 - Llevar a cabo la feria.</t>
  </si>
  <si>
    <t>Apertura de Agromercados.</t>
  </si>
  <si>
    <t>Apoyo a la rehabilitación de Agromercados.</t>
  </si>
  <si>
    <t>No. de Agromercados Rehabilitados al final del año.</t>
  </si>
  <si>
    <t>1  - Montaje  y preparación logística. 
2 - Levantamiento y diagnóstico de necesidades.
3 - Reparación y habilitación de infraestructura.
4 - Apertura de los Agromercados.</t>
  </si>
  <si>
    <t>Agregar más productos a la canasta que ofrece la Institución a los consumidores.</t>
  </si>
  <si>
    <t>Soporte técnico en la expansión de la oferta de las bodegas móviles.</t>
  </si>
  <si>
    <t>No. de combos alimenticios.</t>
  </si>
  <si>
    <t>1 - Adquisición de productos por alguna coyuntura especial.
2 - Estudio de los productos que la población más demanda.
3 - Ubicar los productores de dicho producto.
4 - Lograr acuerdo de venta con la Institución.
5 - Agregar productos a nuestro listado.</t>
  </si>
  <si>
    <t>Montaje del software.</t>
  </si>
  <si>
    <t>Coordinar el apoyo para el montaje de un software de contabilidad para los programas de la Institución.</t>
  </si>
  <si>
    <t>Software implementado.</t>
  </si>
  <si>
    <t>1 - Diagnóstico y levantamiento de las necesidades.
2 - Comprar el software.
3 - Montaje del mismo.</t>
  </si>
  <si>
    <t>Aportar estadísticas al sector Agropecuario.</t>
  </si>
  <si>
    <t>Convenio Interinstitucional INESPRE-ONE.</t>
  </si>
  <si>
    <t>No. de Minutas Reuniones.</t>
  </si>
  <si>
    <t>1 - Levantamiento de información de todos los departamentos que pueden aportar datos valiosos.
2 - Ejecución del convenio.</t>
  </si>
  <si>
    <t>Apoyar a los productores y a los consumidores.</t>
  </si>
  <si>
    <t>Convenio Interinstitucional Ministerio de Agricultura-INESPRE-Proconsumidor.</t>
  </si>
  <si>
    <t>1 - Levantamiento de información diaria sobre precios de los productos de la canasta básica.
2 - Ejecución del convenio.</t>
  </si>
  <si>
    <t>Mejorar la Comercialización Agropecuaria Nacional.</t>
  </si>
  <si>
    <t>Convenio INESPRE-Confenagro.</t>
  </si>
  <si>
    <t>1 - Promoción de nuevas oportunidades de inversión en la comercialización agropecuaria y ayuda a los productores sobre comercialización de sus productos.
2 - Ejecución del convenio.</t>
  </si>
  <si>
    <t>Facilitar transporte gratuito a los empleados de la Institución.</t>
  </si>
  <si>
    <t>Convenio INESPRE-OMSA.</t>
  </si>
  <si>
    <t>1 - Transporte gratuito para los empleados del INESPRE, como adicional de compensación.
2 - Ejecución del convenio.</t>
  </si>
  <si>
    <t>Ayudar al Proyecto a comercializar los productos que siembre a través de los programas que desarrolla la Institución.</t>
  </si>
  <si>
    <t>Convenio INESPRE-Proyecto Cruz de Manzanillo</t>
  </si>
  <si>
    <t>1 - Compra de productos para comercializar a través del INESPRE.</t>
  </si>
  <si>
    <t>Ayudar a la comercialización de carne de pescado nacional.</t>
  </si>
  <si>
    <t>Convenio INESPRE-CODOPESCA.</t>
  </si>
  <si>
    <t>1 - Participación de los agricultores en las ferias de productores del INESPRE.</t>
  </si>
  <si>
    <t>Cooperación mutua entre ambas instituciones.</t>
  </si>
  <si>
    <t>Convenio INESPRE-UASD.</t>
  </si>
  <si>
    <t>1 - Pasantías a estudiantes de Agronomía de la UASD en la institución.
2 - Participación de profesores de la UASD en capacitaciones internas del INESPRE.</t>
  </si>
  <si>
    <t>-Sección de Protocolo.</t>
  </si>
  <si>
    <t>1-  Correos electrónicos.
2-Convocatoria                 
3- Registro de participantes e Informe y Asamblea o Minuta del Directorio.</t>
  </si>
  <si>
    <t>Las fechas de las celebraciones de los consejos no son previamente establecidas.</t>
  </si>
  <si>
    <t>1- Notificación vía chat grupal.
2- Convocatoria.
3- Registro de participantes e Informe y  Minuta del encuentro.</t>
  </si>
  <si>
    <t>Fechas no establecidas.</t>
  </si>
  <si>
    <t>Áreas operativas del INESPRE.</t>
  </si>
  <si>
    <t>1- Registro de  mensajes convocando.
2- Fotografías de las visitas.
3-  Minuta de reunión.</t>
  </si>
  <si>
    <t>Gerencias regionales.</t>
  </si>
  <si>
    <t>1- Agenda del Director.
 2- Convocatoria.
 3- Fotografías de las visitas e Informes.</t>
  </si>
  <si>
    <t>Subdirección Ejecutiva.</t>
  </si>
  <si>
    <t>- Dirección de Gestión de Programas.
- Dirección de Comercialización.
- División de Compras y Contrataciones.
- Dirección de Abastecimiento, Distribución y Logística.
- Dirección Administrativa Financiera.</t>
  </si>
  <si>
    <t xml:space="preserve">
1 - Comunicaciones internas.
2 - Cartas.
3 - Noticias digitales en la página web del INESPRE y prensa en general.
4 - Publicaciones en redes sociales  e inauguración.</t>
  </si>
  <si>
    <t>- Dirección de Gestión de Programas.
- Dirección de Comercialización.
- Dirección de Abastecimiento, Distribución y Logística.
- Dirección Administrativa Financiera.</t>
  </si>
  <si>
    <t>1 - Correos con requerimientos.
2 - Comunicaciones.
3 - Publicaciones en redes sociales.
4 - Inauguración de Agromercados.</t>
  </si>
  <si>
    <t>- Departamento de Tecnologías de la Información y Comunicación.
- Dirección de Comercialización.</t>
  </si>
  <si>
    <t>1 - Correos y comunicaciones internas sobre situación.
2 - Cartas externas.
3 - Contacto con productores.
4 - Concretar acuerdos o convenios.
5 - Expansión de la oferta en los programas.
6 - Publicación en redes.</t>
  </si>
  <si>
    <t>Departamento de Tecnologías de la Información y Comunicación.</t>
  </si>
  <si>
    <t>1 - Comunicaciones.
2 - Requerimientos a compras internos.
3 - Sistema montado.</t>
  </si>
  <si>
    <t>Oficina de Relaciones Interinstitucionales.</t>
  </si>
  <si>
    <t>1 - Minutas de las reuniones.
2 - Convenio firmado.</t>
  </si>
  <si>
    <t>- Dirección de Comercialización.
- Departamento de Tecnología de la Información y Comunicación.</t>
  </si>
  <si>
    <t>1 - Reporte de precios.
2 - Convenio firmado.</t>
  </si>
  <si>
    <t>- Dirección Ejecutiva.
- Dirección de Comercialización.</t>
  </si>
  <si>
    <t>1 - Ferias de productores y capacitaciones.
2 - Convenio firmado.</t>
  </si>
  <si>
    <t>Dirección de Recursos Humanos.</t>
  </si>
  <si>
    <t>1 - Comunicación interna.
2 - Convenio firmado.</t>
  </si>
  <si>
    <t>1 - Órdenes de compra.</t>
  </si>
  <si>
    <t>- Dirección de Gestión de Programas.
- Dirección de Comercialización.</t>
  </si>
  <si>
    <t>1 - Convenio firmado.</t>
  </si>
  <si>
    <t>- Dirección de Recursos Humanos.
- Dirección Agropecuaria, Normas y Tecnología Alimentaria.
- Dirección de Comercialización.</t>
  </si>
  <si>
    <t>1 - Reporte de pasantías por la Dirección de Recursos Humanos.
2 - Informes de talleres realizados, fotos, noticias en la página web.</t>
  </si>
  <si>
    <t>Publicar información institucional en diferentes medios digitales e impresos.</t>
  </si>
  <si>
    <t>Notas de prensa.</t>
  </si>
  <si>
    <t>No. de Notas de prensa realizadas.</t>
  </si>
  <si>
    <t>1 - Seleccionar tema.
2 - Redactar nota de prensa.
3 - Corregir la nota.
4 - Enviarla al medio a publicar.</t>
  </si>
  <si>
    <t>Cartas aniversarios de medios.</t>
  </si>
  <si>
    <t>No. de Cartas de aniversario.</t>
  </si>
  <si>
    <t>1 - Seleccionar el medio.
2 - Redactar las cartas.
3 - Enviarla a la Dirección Ejecutiva para firma y sello.
4 - Enviar carta al medio.</t>
  </si>
  <si>
    <t>Coordinación para envío de Bodegas Móviles a los medios.</t>
  </si>
  <si>
    <t>No. de Bodegas Móviles para enviar.</t>
  </si>
  <si>
    <t xml:space="preserve">B  </t>
  </si>
  <si>
    <t>1 -  Solicitud del medio de comunicación.
2 - Remitir solicitud a Dirección de Gestión de Programas.
3 - Enviar las Bodegas Móviles a dicho medio.</t>
  </si>
  <si>
    <t>Entrevistas al Director.</t>
  </si>
  <si>
    <t>No. de entrevistas realizadas.</t>
  </si>
  <si>
    <t>1 - Solicitar una entrevista.
2 - Esperar la fecha a ser entrevistado y asistir el día establecido.</t>
  </si>
  <si>
    <t>Agenda del día.</t>
  </si>
  <si>
    <t>No. de Agendas publicadas.</t>
  </si>
  <si>
    <t>1 - Hacer solicitud de agenda en el medio.</t>
  </si>
  <si>
    <t>Reducir los niveles de quejas.</t>
  </si>
  <si>
    <t>Pagos por capítulo de publicidad.</t>
  </si>
  <si>
    <t>No. de pagos realizados.</t>
  </si>
  <si>
    <t>1 - Enviar la factura.
2 - Solicitar el pago.
3 - Enviar a los Departamentos correspondientes.</t>
  </si>
  <si>
    <t>Mantener a los empleados al tanto de las actividades de mayor relevancia de la Institución.</t>
  </si>
  <si>
    <t>Actualizaciones de los murales digitales.</t>
  </si>
  <si>
    <t>No. de actualizaciones programadas.</t>
  </si>
  <si>
    <t>1 - Seleccionar el texto a mostrar.
2 - Cambiar el contenido anterior por el nuevo.</t>
  </si>
  <si>
    <t>Actualizaciones del portal.</t>
  </si>
  <si>
    <t>1 - Crear contenidos.
2 - Subir fotos e informaciones.
3 - Dar seguimiento al portal.</t>
  </si>
  <si>
    <t>Publicaciones en Redes  Sociales.</t>
  </si>
  <si>
    <t>No. de publicaciones.</t>
  </si>
  <si>
    <t>1 - Crear contenidos.
2 - Subir fotos y videos e informaciones de interés.
3 - Monitorear las visualizaciones y comentarios.</t>
  </si>
  <si>
    <t>Dar a conocer ocasiones especiales de la Institución a la población.</t>
  </si>
  <si>
    <t>Fotos institucionales.</t>
  </si>
  <si>
    <t>No. de fotos.</t>
  </si>
  <si>
    <t>1 - Ir al lugar o programa determinado.
2 - Hacer las fotos.
3 - Subir y archivar.</t>
  </si>
  <si>
    <t>Videos institucionales.</t>
  </si>
  <si>
    <t>No. de videos.</t>
  </si>
  <si>
    <t>1 - Ir a la actividad solicitada.
2 - Grabar el evento.
3 - Archivar videos.</t>
  </si>
  <si>
    <t>Infomerciales institucionales.</t>
  </si>
  <si>
    <t>No. de infomerciales.</t>
  </si>
  <si>
    <t>1 - Conocer el tema a promocionar.
2 - Recoger las informaciones y luego hacer el spot.
3 - Promoción.</t>
  </si>
  <si>
    <t>Dar a conocer información de las ventas de los Mercados de Productores y las Bodegas Móviles a la población.</t>
  </si>
  <si>
    <t>Promociones institucionales.</t>
  </si>
  <si>
    <t>No. de promociones.</t>
  </si>
  <si>
    <t>1 - Seleccionar el sector donde se anunciará.
2 - Grabar el contenido indicado a promocionar.
3 - Enviar la bodega móvil a dicho sector.</t>
  </si>
  <si>
    <t>Institución con credibilidad y buena reputación a nivel nacional e internacional.</t>
  </si>
  <si>
    <t>Encuesta de posicionamiento de la marca INESPRE.</t>
  </si>
  <si>
    <t>No. de Encuestas realizadas</t>
  </si>
  <si>
    <t>1 - Diseñar el cuestionario.
2- Aplicar prueba piloto.
3 - Validar cuestionario.
4 - Realizar levantamiento estadístico.</t>
  </si>
  <si>
    <t>Informar al Director y empleados de temas del sector agropecuario y económico.</t>
  </si>
  <si>
    <t>Síntesis informativa.</t>
  </si>
  <si>
    <t>No. de síntesis realizadas.</t>
  </si>
  <si>
    <t>1 - Recolección de información en los medios digitales e impresos.
2 - Envío de síntesis a los correos electrónicos y de forma física.</t>
  </si>
  <si>
    <t>Dar a conocer todo lo realizado por el INESPRE.</t>
  </si>
  <si>
    <t>Revista institucional.</t>
  </si>
  <si>
    <t>No. de Revistas realizadas.</t>
  </si>
  <si>
    <t>1 - Nota de prensa.
2 - Recolección de información.
3 - Corrección de texto y estilo.</t>
  </si>
  <si>
    <t>Cubrir los requerimientos de las Direcciones o Departamentos solicitantes para proyectarlos en imagen.</t>
  </si>
  <si>
    <t>Solicitud de cobertura.</t>
  </si>
  <si>
    <t>No. de coberturas realizadas.</t>
  </si>
  <si>
    <t>1 - Solicitud de servicio.
2 - Cubrir la actividad.
3 - Cobertura realizada.</t>
  </si>
  <si>
    <t>Informar de forma resumida las noticias cubiertas por la institución.</t>
  </si>
  <si>
    <t>Cápsula informativa.</t>
  </si>
  <si>
    <t>No. de cápsulas.</t>
  </si>
  <si>
    <t>1 - Revisar las notas de prensa.
2 - Realizar la selección del texto.
3 - Grabar el video.</t>
  </si>
  <si>
    <t>Sección de Prensa.</t>
  </si>
  <si>
    <t xml:space="preserve">1 - Calendario de efemérides.
2,3 - Solicitud de actividad.
4 - Publicación en la página y publicación en el medio enviado. </t>
  </si>
  <si>
    <t>Departamento de Comunicaciones.</t>
  </si>
  <si>
    <t>-Dirección Ejecutiva.</t>
  </si>
  <si>
    <t>1 - Lista de aniversarios de medios.
2,3 - Carta impresa de felicitación.
4 - Carta recibida.</t>
  </si>
  <si>
    <t>-Dirección de Gestión de Programas.</t>
  </si>
  <si>
    <t>1,2 - Correo electrónico.
3 - Carta.</t>
  </si>
  <si>
    <t>1 - Correo electrónico.
2 - Fotos y videos de entrevista.</t>
  </si>
  <si>
    <t>-Medios de Comunicación externos.</t>
  </si>
  <si>
    <t>1 - Reporte de la publicación impresa del medio.</t>
  </si>
  <si>
    <t>-Dirección Administrativa Financiera.</t>
  </si>
  <si>
    <t>1 - Facturas.
2 - Correo electrónico.
3 - Carta impresa recibida.</t>
  </si>
  <si>
    <t>1- Correo electrónico.
2 - Visualización del contenido en la pantalla.</t>
  </si>
  <si>
    <t>1 - Listado de efemérides, fotos.
2,3 - Página institucional.</t>
  </si>
  <si>
    <t>1 - Fotos.
2 - Publicaciones.
3 - Mediciones.</t>
  </si>
  <si>
    <t>1,2 - Fotos, documento, memorias.
3 - Página institucional y redes sociales.</t>
  </si>
  <si>
    <t>1 - Programación de los canales de comercialización de la Institución.
2 - Texto del contenido a grabar.
3 - Audio.</t>
  </si>
  <si>
    <t>-Departamento de Planificación y Desarrollo.</t>
  </si>
  <si>
    <t>1 - Preguntas elaboradas.
2 - Resultado prueba piloto.
3 - Presentación del cuestionario final a las áreas involucradas vía correo electrónico.
4 - Resultado obtenido de la encuesta.</t>
  </si>
  <si>
    <t>1 - Sitios web.
2 - Correos electrónicos, síntesis impresa, síntesis electrónica.</t>
  </si>
  <si>
    <t>1,2 - Notas de prensa publicadas en la página web institucional.
3 - Revista culminada.</t>
  </si>
  <si>
    <t>-Todas las Direcciones o Departamentos de la Institución.</t>
  </si>
  <si>
    <t>1 - Cartas de solicitud.
2 -  Correos electrónicos, fotos, videos.</t>
  </si>
  <si>
    <t>1,2 - Notas de prensa publicadas en la página web institucional.
3 - Video realizado.</t>
  </si>
  <si>
    <t>Asegurar que las actividades se lleven a cabo de forma eficiente.</t>
  </si>
  <si>
    <t>Asistencia a talleres de capacitación.</t>
  </si>
  <si>
    <t>No. de talleres a los cuales se van a asistir.</t>
  </si>
  <si>
    <t>1 - Realizar la solicitud al departamento correspondiente ya sea la División de Compras y Contrataciones, Dirección Administrativa Financiera.
2 - Ejecución de actividad.
3 - Recepción de servicios.</t>
  </si>
  <si>
    <t>Asistencia a las reuniones de las diferentes Direcciones o Departamentos.</t>
  </si>
  <si>
    <t>No. de comunicaciones para solicitar las reuniones en el salón de conferencias.</t>
  </si>
  <si>
    <t>1 - Realizar la solicitud al departamento correspondiente ya sea la División de Compras y Contrataciones o Dirección Administrativa Financiera.
2 - Ejecución de actividad.
3 - Recepción de servicios.</t>
  </si>
  <si>
    <t>Mantener nuestra identidad nacional e institucional a través de la conmemoración de estas fechas.</t>
  </si>
  <si>
    <t>Celebración de las efemérides, Misa de aniversario, Fiesta navideña.</t>
  </si>
  <si>
    <t>No. de Actividades programadas para organizar.</t>
  </si>
  <si>
    <t>Cumplir con las expectativas solicitadas.</t>
  </si>
  <si>
    <t>Decoraciones florales.</t>
  </si>
  <si>
    <t>No. de decoraciones programadas.</t>
  </si>
  <si>
    <t>1 - Recibir  el requerimiento.
2 - Ejecutar el mismo.</t>
  </si>
  <si>
    <t>Sección de Protocolo.</t>
  </si>
  <si>
    <t>-División de Compras y Contrataciones.
-Dirección Administrativa Financiera.</t>
  </si>
  <si>
    <t>1 - Solicitud de elaboración de  talleres.
2 - Comunicaciones enviadas a las áreas.
3 - Realización de la recepción del servicio.</t>
  </si>
  <si>
    <t>1 - Comunicaciones enviadas a las áreas.
2 - Listados de asistencia.
3 - Apoyo brindado por el auxiliar de protocolo.</t>
  </si>
  <si>
    <t>1 - Solicitud a las diferentes Direcciones o Departamentos.
2 - El material audiovisual que realiza comunicaciones.
3 - Asistencia de auxiliar de protocolo.</t>
  </si>
  <si>
    <t>1 - Requerimiento al Departamento Financiero o a la División de Compras y Contrataciones.
2 - Decoraciones colocadas en su respectivo lugar.</t>
  </si>
  <si>
    <t>Lograr el mejor funcionamiento en las actividades realizadas en las áreas.</t>
  </si>
  <si>
    <t>Auditorías de cumplimiento de las normas.</t>
  </si>
  <si>
    <t>No. de Auditorías programadas.</t>
  </si>
  <si>
    <t>1 - Solicitud de auditoría para fines de aprobación.
2 - Aprobación de auditoría a ejecutar.
3 - Ejecución de la auditoría.</t>
  </si>
  <si>
    <t>Auditoría de procedimientos de las áreas.</t>
  </si>
  <si>
    <t>Registrar todos los documentos, validar, evaluar y controlar mediante estos la ejecución de las actividades institucionales.</t>
  </si>
  <si>
    <t>Validación, evaluación y control de documentos de ejecución, administración y de operaciones.</t>
  </si>
  <si>
    <t>No. de Informe de revisión y verificación de documentos, procesados por su cumplimiento con las normas y los procedimientos.</t>
  </si>
  <si>
    <t>1 - Recepción de los documentos de todas las áreas.
2 - Revisión de los documentos.
3 - Corrección de los documentos.
4 - Entrega de los documentos.</t>
  </si>
  <si>
    <t>Fiscalizar las Operaciones Institucionales.</t>
  </si>
  <si>
    <t>Arqueo de Cajas Chicas y Fondos Operacionales.</t>
  </si>
  <si>
    <t>No. de Arqueo de Cajas Chicas y Fondos Operacionales.</t>
  </si>
  <si>
    <t>1 - Escoger la fecha para la realización del arqueo.
2 - Realizar el arqueo.</t>
  </si>
  <si>
    <t>Auditoría a realizar.</t>
  </si>
  <si>
    <t>No. de Auditorías Realizadas.</t>
  </si>
  <si>
    <t>1 - Programar fecha para la auditoría.
2 - Planificar auditoría.
3 - Ejecutar la auditoría.</t>
  </si>
  <si>
    <t>Análisis Diarios de Ventas en Agromercados.</t>
  </si>
  <si>
    <t>No. de Diarios de Ventas Analizados.</t>
  </si>
  <si>
    <t>1 - Programar fecha para el análisis de ventas de los agromercados.
2 - Planificación del análisis de ventas en agromercados.
3 - Realización del análisis.</t>
  </si>
  <si>
    <t>Cheques Revisados.</t>
  </si>
  <si>
    <t>No. de Cheques.</t>
  </si>
  <si>
    <t>1 - Recepción de cheques a revisar.
2 - Revisión de cheques.
3 - Entrega de cheques.</t>
  </si>
  <si>
    <t>Fiscalización y Val. Operaciones Op/Financiera en Mercados de Productores y Bodegas Móviles.</t>
  </si>
  <si>
    <t>No. de Operaciones Fiscalizadas.</t>
  </si>
  <si>
    <t>1 - Programar fecha para la fiscalización y validación de operaciones financieras en Mercados de Productores y Bodegas Móviles.
2 - Planificación de las operaciones. 
3 - Ejecución de las operaciones.</t>
  </si>
  <si>
    <t>Fiscalización y Validación de Inventario de Materiales y Suministros.</t>
  </si>
  <si>
    <t>No. de Inventarios a Suministros.</t>
  </si>
  <si>
    <t>1 - Programar fecha para la fiscalización y validación del inventario de materiales de suministro.
2 - Planificar el inventario de materiales de suministro.
3 - Ejecución del inventario.</t>
  </si>
  <si>
    <t>Fiscalización y Validación de Inventario de Productos.</t>
  </si>
  <si>
    <t>No. de Inventarios a Productos.</t>
  </si>
  <si>
    <t>1 - Programar fecha para la fiscalización y validación de inventario de producto.
2 - Planificación del inventario de producto.
3 - Ejecución del inventario de producto.</t>
  </si>
  <si>
    <t>Informe de Ingresos Mensuales de la Institución.</t>
  </si>
  <si>
    <t>No. de Informes de Ingresos.</t>
  </si>
  <si>
    <t>1 - Recolectar información sobre los ingresos mensuales.
2 - Realizar informe.</t>
  </si>
  <si>
    <t>Informe de Pagos Electrónicos a Empleados.</t>
  </si>
  <si>
    <t>No. de Informes de Pagos Electrónicos.</t>
  </si>
  <si>
    <t>1 - Recolectar información sobre los pagos electrónicos a empleados. 
2 - Realizar informe.</t>
  </si>
  <si>
    <t>Fiscalización de Transferencias  Electrónicas (varias).</t>
  </si>
  <si>
    <t>No. de Pagos por Transferencia.</t>
  </si>
  <si>
    <t>1 - Recolectar información sobre las transferencias.
2 - Realizar informe.</t>
  </si>
  <si>
    <t>Revisión de Expedientes para Fines de Pagos.</t>
  </si>
  <si>
    <t>No. de expedientes revisados.</t>
  </si>
  <si>
    <t>1 - Recepción de expedientes para fines de pago.
2 - Revisión de los expedientes.
3 - Entrega de los expedientes revisados.</t>
  </si>
  <si>
    <t>Revisión de Nómina a Empleados Fijos.</t>
  </si>
  <si>
    <t>No. de Expedientes de Nómina Revisados.</t>
  </si>
  <si>
    <t>1 - Recepción de la nómina de empleados fijos.
2 - Revisión de  la nómina de empleados fijos. 
3 - Entrega de la nómina revisada.</t>
  </si>
  <si>
    <t>Verificación de Activos Fijos (varios movimientos).</t>
  </si>
  <si>
    <t>No. de Movimientos de Activos Fijos Fiscalizados.</t>
  </si>
  <si>
    <t>1 - Programar fecha para la verificación de los movimientos de Activos Fijos.
2 - Realizar movimientos.</t>
  </si>
  <si>
    <t>Verificación y Validación de Inventario de Activos Fijos.</t>
  </si>
  <si>
    <t>No. de Verificaciones de Inventario de Activos Fijos.</t>
  </si>
  <si>
    <t>1 - Programar fecha para la validación de los inventarios de Activos Fijos.
2 - Planificación del inventario de Activos Fijos.
3 - Ejecución del inventario.</t>
  </si>
  <si>
    <t>Departamento de Normas, Sistemas, Supervisión y Seguimiento.</t>
  </si>
  <si>
    <t>-Todas las áreas.</t>
  </si>
  <si>
    <t>1,2 - Solicitud aprobada.
3 - Informe de auditoría ejecutada.</t>
  </si>
  <si>
    <t>Sección de Revisión Interna.</t>
  </si>
  <si>
    <t>1 - Registro en el libro de entrada.
2,3 - Informe de revisión.
4 - Registro en el libro de salida.</t>
  </si>
  <si>
    <t>División de Fiscalización.</t>
  </si>
  <si>
    <t>1 - Programación o cronograma de trabajo.
2 - Informe de arqueo.</t>
  </si>
  <si>
    <t>1,2 - Programación o cronograma de trabajo.
3 - Informe de auditoría.</t>
  </si>
  <si>
    <t>1,2 - Programación o cronograma de trabajo.
3 - Informe de análisis.</t>
  </si>
  <si>
    <t>1 - Libro de registro de entrada.
2 - Validación del fiscalizador.
3 - Libro de registro de salida.</t>
  </si>
  <si>
    <t>1,2 - Programación o cronograma de trabajo.
3 - Informe de fiscalización de las operaciones de Mercados de Productores y Bodegas Móviles.</t>
  </si>
  <si>
    <t>-División de Compras y Contrataciones</t>
  </si>
  <si>
    <t>1,2 - Programación o cronograma de trabajo.
3 - Informe de fiscalización de la validación de inventario de materiales y suministro.</t>
  </si>
  <si>
    <t>-Dirección de Abastecimiento, Distribución y Logística.</t>
  </si>
  <si>
    <t>1,2 - Programación de trabajo.
3 - Informe de fiscalización de la validación del inventario de producto.</t>
  </si>
  <si>
    <t>1,2 - Informe de ingreso mensual.</t>
  </si>
  <si>
    <t>1,2 - Informe de pagos electrónicos a empleados.</t>
  </si>
  <si>
    <t>1,2 - Reporte de transferencias electrónicas.</t>
  </si>
  <si>
    <t>-Sección de Revisión  Interna.</t>
  </si>
  <si>
    <t>-Sección de Activos Fijos.</t>
  </si>
  <si>
    <t>1 - Programación o cronograma de trabajo.
2 - Formato de verificación de Activos Fijos.</t>
  </si>
  <si>
    <t>1 - Programación o cronograma de trabajo.
2 - Formato de verificación y validación de inventario de Activos Fijos.</t>
  </si>
  <si>
    <t>Plan Estratégico Institucional (PEI) 2021-2024.</t>
  </si>
  <si>
    <t>Documento del PEI publicado.</t>
  </si>
  <si>
    <t xml:space="preserve">1 - Convocatoria de una jornada de trabajo con las áreas institucionales para realizar un análisis FODA institucional.
2 - Hacer una revisión del Credo Organizacional.
3 - Formulación de los ejes y objetivos estratégicos institucionales.
4 - Llenado de la matriz del MEPyD.
5 - Consolidación de la matriz del PEI con todas las áreas.
6 - Culminación y socialización del PEI con todas las áreas.
</t>
  </si>
  <si>
    <t>Plan de Compras y Proyecto de Presupuesto del año 2022.</t>
  </si>
  <si>
    <t>No. de documentos publicados.</t>
  </si>
  <si>
    <t>1 - Solicitar requerimientos de insumos a las áreas.
2 - Formular Plan de Compras y Presupuesto preliminar.
3 - Enviar el Presupuesto a DIGEPRES, Ministerio de Agricultura y Ministerio de Hacienda para fines de aprobación.
4 - Ajustes y Reformulación del Proyecto de Presupuesto Aprobado.</t>
  </si>
  <si>
    <t>Alcanzar las metas establecidas en base a las programadas; proveer seguimiento oportuno a las variables pertinentes y realizar los ajustes necesarios.</t>
  </si>
  <si>
    <t>Dashboard de estadísticas.</t>
  </si>
  <si>
    <t>No. de Dashboards realizados.</t>
  </si>
  <si>
    <t>1 - Solicitar y recibir las Estadísticas Mensuales.
2 - Digitar formularios de recepciones de productos.
3 - Elaboración de Dashboard con variables pertinentes.</t>
  </si>
  <si>
    <t>Informes de seguimiento: Ejecuciones trimestrales del POA y Memoria Institucional 2021.</t>
  </si>
  <si>
    <t>No. de informes publicados.</t>
  </si>
  <si>
    <t>1 - Enviar matriz de ejecución a las áreas para completar.
2 - Recepción de las matrices.
3 - Elaboración de los informes trimestrales y rendición de cuentas en la memoria.
4 - Revisión y Publicación de los documentos elaborados.</t>
  </si>
  <si>
    <t>Incorporar la política medioambiental en las actividades y decisiones del INESPRE.</t>
  </si>
  <si>
    <t>Plan de Medioambiente.</t>
  </si>
  <si>
    <t>Documento del Plan elaborado.</t>
  </si>
  <si>
    <t>1 - Integrar a las áreas competentes.
2 - Formulación del Plan de Medioambiente.</t>
  </si>
  <si>
    <t>Mitigar los riesgos existentes y robustecer la estructura física y tecnológica de la Institución para fortalecer la seguridad de la información.</t>
  </si>
  <si>
    <t>Plan de Seguridad Física y Tecnológica.</t>
  </si>
  <si>
    <t>1 - Solicitar el levantamiento de necesidades de refuerzo de seguridad al Departamento de Ingeniería y Arquitectura.
2 - Solicitar un reporte analizando los riesgos de la información y equipos tecnológicos.
3 - Formulación del Plan de Seguridad Física y Tecnológica.</t>
  </si>
  <si>
    <t>Revolucionar el proceso de comunicación interna entre los servidores públicos de la Institución y fortalecer las vías de comunicación con los ciudadanos-clientes.</t>
  </si>
  <si>
    <t>Plan de Comunicación Interna y Externa.</t>
  </si>
  <si>
    <t>1 - Solicitar al Departamento de Comunicaciones un análisis del entorno de la comunicación interna y externa.
2 - Diseñar diferentes propuestas.
3 - Elaborar el Plan de Comunicación Interna y Externa.</t>
  </si>
  <si>
    <t>- Dirección Ejecutiva.
- Departamento de Planificación y Desarrollo.</t>
  </si>
  <si>
    <t>1 - Registro de Participantes del análisis FODA.
2 - Credo Organizacional aprobado por la MAE.
3 - Ejes y objetivos estratégicos aprobados por la MAE. 
4 - Planilla de la Matriz del PEI aprobada por el MEPyD.
5 - Registro de firmas de las reuniones.
6 - El documento del PEI 2021-2024 aprobado por la MAE,  publicado en el Portal de Transparencia y enviado al MEPyD.</t>
  </si>
  <si>
    <t>División de Formulación, Monitoreo y Evaluación de PPP.</t>
  </si>
  <si>
    <t>1 - Copia de solicitudes recibidas y firmadas por las áreas.  
2 - Oficio de convocatoria a reuniones con las áreas sustantivas y el área de compras, formulario de asistencia de los participantes a reuniones. 
3 - Plan de Compras y Proyecto de Presupuesto preliminar, Oficio de remisión del Plan de Compras y Proyecto de Presupuesto preliminar a DGCP y DIGEPRES.
4 - Documentos terminados y aprobados por el Consejo de Directores.</t>
  </si>
  <si>
    <t>1 - Estadísticas mensuales de las áreas institucionales recibidas.
2 - Formularios digitados para fines de análisis.
3 - Dashboards realizados.</t>
  </si>
  <si>
    <t>1 - Correo enviado con la planilla del informe de ejecución a las diferentes áreas.
2 - Informes de ejecución recibidos de las diferentes áreas.
3,4 - Los informes trimestrales y la Memoria Institucional 2021 publicados en el Portal de Transparencia.</t>
  </si>
  <si>
    <t>- Dirección Administrativa Financiera.
- Dirección de Gestión de Programas.
- Dirección Agropecuaria, Normas y Tecnología Alimentaria.</t>
  </si>
  <si>
    <t>1 - Convocatoria a los involucrados y lista de asistencia.
2 - Plan elaborado y publicado en la plataforma NOBACI.</t>
  </si>
  <si>
    <t xml:space="preserve"> - Departamento de Tecnologías de la Información y Comunicación.
- Departamento de Ingeniería y Arquitectura.</t>
  </si>
  <si>
    <t>1,2 - Solicitud enviada y firmada por el área.
3 - Plan elaborado y publicado en la plataforma NOBACI.</t>
  </si>
  <si>
    <t xml:space="preserve"> - Departamento de Comunicaciones.</t>
  </si>
  <si>
    <t>Transversalizar el enfoque de género en las acciones y decisiones del INESPRE.</t>
  </si>
  <si>
    <t>Coordinación de capacitación y sensibilización a los Servidores Públicos del INESPRE en los temas de igualdad de género.</t>
  </si>
  <si>
    <t>Número de capacitaciones coordinadas.</t>
  </si>
  <si>
    <t>1 - Realizar un cronograma de trabajo.           
2 - Gestionar  las capacitaciones.                            
3 - Difusión de la sensibilización.</t>
  </si>
  <si>
    <t>Proyecto de Sala de Lactancia Materna.</t>
  </si>
  <si>
    <t>Sala de lactancia materna instalada, inaugurada y en funcionamiento.</t>
  </si>
  <si>
    <t>1 - Realizar un cronograma de trabajo. 
2 - Ubicar espacio físico.    
3 - Adecuar el espacio físico.
4 - Equipar Sala.
5 - Apertura Sala de Lactancia Materna.</t>
  </si>
  <si>
    <t>Conmemoración fechas relevantes.</t>
  </si>
  <si>
    <t>Número de conmemoraciones.</t>
  </si>
  <si>
    <t>1 - Enviar cápsula educativa masiva.               
2 - Distribución de volantes y material educativo.
3 - Boletín Digital.</t>
  </si>
  <si>
    <t>Unidad de Igualdad de Género.</t>
  </si>
  <si>
    <t>- Departamento de Evaluación de Desempeño y Capacitación.
- Departamento de Comunicaciones.
- Sección de Protocolo.</t>
  </si>
  <si>
    <t>1 - Documento del cronograma de trabajo.
2 - Documentaciones pertinentes.                     
3 - Fotos, videos, notas de prensa, correos masivos al personal, registro de participantes.</t>
  </si>
  <si>
    <t>- Dirección Ejecutiva.
- Departamento de Planificación y Desarrollo.
- Dirección Administrativa Financiera.</t>
  </si>
  <si>
    <t>1 - Documento del cronograma de trabajo.
2 - Plano de Arquitectura.
3 - Documentaciones pertinentes. 
4 - Documentos de requisiciones.   
5 - Fotos, videos, notas de prensa, registro de participantes de la inauguración de la sala de lactancia.</t>
  </si>
  <si>
    <t>- Departamento de Planificación y Desarrollo.
- Departamento de Comunicaciones.
- Sección de Protocolo.</t>
  </si>
  <si>
    <t>1 - Correos enviados.
2 - Fotos, videos, notas de prensa, registro de participantes, publicaciones en redes sociales.
3 - Documento de publicación Boletín Digital.</t>
  </si>
  <si>
    <t>Apoyar en la articulación del funcionamiento, desarrollo y efectividad en la organización.</t>
  </si>
  <si>
    <t>Implementación de las Normas Básicas de Control Interno (NOBACI).</t>
  </si>
  <si>
    <t xml:space="preserve"> No. de informes de implementación de las NOBACI.</t>
  </si>
  <si>
    <t>1 - Elaboración de los procedimientos.
2 - Socialización de procedimientos.
3 - Carga de los procedimientos en la plataforma NOBACI.</t>
  </si>
  <si>
    <t>Estructura organizativa de la Institución actualizada.</t>
  </si>
  <si>
    <t>Documento publicado.</t>
  </si>
  <si>
    <t>1 - Levantamiento de información con las áreas sobre las prioridades de cambios relacionados con la estructura.
2 - Sometimiento de los cambios al MAP.</t>
  </si>
  <si>
    <r>
      <rPr>
        <sz val="12"/>
        <rFont val="Calibri"/>
        <family val="2"/>
      </rPr>
      <t>Implementar el Sistema</t>
    </r>
    <r>
      <rPr>
        <sz val="12"/>
        <color rgb="FF000000"/>
        <rFont val="Calibri"/>
        <family val="2"/>
      </rPr>
      <t xml:space="preserve"> de Gestión de Calidad en los diferentes procesos del INESPRE, asegurando su sostenibilidad para la mejora continua, que permita la satisfacción del usuario.</t>
    </r>
  </si>
  <si>
    <t>Informe de Encuesta Institucional de satisfacción ciudadana.</t>
  </si>
  <si>
    <t>Informe de encuesta institucional de satisfacción ciudadana publicado.</t>
  </si>
  <si>
    <t>1 - Determinar la muestra.
2 - Calendarizar el período a evaluar.
3 - Aplicar las encuestas.
4 - Tabulación de los datos.
5 - Realizar el informe de resultados.
6 - Determinación del plan de acción.</t>
  </si>
  <si>
    <t>Informe de evaluación de la Carta Compromiso al Ciudadano.</t>
  </si>
  <si>
    <t>Informe de evaluación enviado al MAP.</t>
  </si>
  <si>
    <t>1 - Preparar documentación para auditoría del segundo año.
2 - Plan de acción post-auditoría.
3 - Dar seguimiento a resultados de servicios comprometidos y generar acciones necesarias.
4 - Comunicar los resultados.</t>
  </si>
  <si>
    <t>Seguimiento al Plan de Mejora CAF y actualización autodiagnóstico CAF.</t>
  </si>
  <si>
    <t>No. de documentos elaborados.</t>
  </si>
  <si>
    <t>1 - Remitir acciones a las áreas correspondientes identificadas en el Plan de Mejora.
2 - Remisión del informe al MAP.
3 - Actualización autodiagnóstico CAF 2021-2022.</t>
  </si>
  <si>
    <t>Nivel de Implementación de la VAR (NOBACI).</t>
  </si>
  <si>
    <t>Implementación de la Valoración, Administración y Mitigación de Riesgos.</t>
  </si>
  <si>
    <t>No. de requerimientos realizados.</t>
  </si>
  <si>
    <t>1 - Levantamiento de información.
2 - Elaboración de Metodología y las matrices de Riesgo.
3 - Capacitación de los Directivos, encargados de área y Comité de Riesgo.</t>
  </si>
  <si>
    <t>División de Desarrollo Institucional y Calidad en la Gestión.</t>
  </si>
  <si>
    <t>1 - Procedimientos aprobados por los Encargados de áreas y la MAE.
2 - Registro de participantes firmado.
3 - Matriz de Resumen Seguimiento cuatrimestral firmada por la MAE y cargada en la plataforma.</t>
  </si>
  <si>
    <t xml:space="preserve"> - Departamento de Planificación y Desarrollo.
 - Dirección de Recursos Humanos.
 - Dirección Ejecutiva.
 - Otras áreas.</t>
  </si>
  <si>
    <t>1 - Actas de reunión, formularios de levantamiento de información.
2 - Solicitud de aprobación.</t>
  </si>
  <si>
    <t>- Departamento de Planificación y Desarrollo.
- Dirección de Recursos Humanos.
- Dirección Ejecutiva.
- Departamento de Tecnologías de la Información y Comunicación.
- Departamento de Comunicaciones.</t>
  </si>
  <si>
    <r>
      <rPr>
        <sz val="12"/>
        <rFont val="Calibri"/>
        <family val="2"/>
      </rPr>
      <t>1 - Data suministrada por el área responsable.
2 - Metodología de trabajo.
3 - Encuestas realizadas.
4 - Matriz de resultados.
5 - Informe de resultados de las 
encuestas completadas.
6 - Plan de acción elaborado en base a los resultados de la encuesta.</t>
    </r>
  </si>
  <si>
    <t>- Departamento de Planificación y Desarrollo.
- Dirección de Gestión de Programas.
- Oficina de Libre Acceso a la Información.
- Dirección Ejecutiva.
- Departamento de Comunicaciones.</t>
  </si>
  <si>
    <t>1 - Cronograma de trabajo.
2 - Informe de Resultados.
3 - Seguimiento a las mejoras implementadas.
4 - Socialización de los resultados de la auditoría.</t>
  </si>
  <si>
    <t>1 - Matriz de acciones implementadas.
2 - Comunicación de recibo.
3 - Autodiagnóstico actualizado y socializado.</t>
  </si>
  <si>
    <t>-Dirección Ejecutiva.
- Todas las áreas institucionales.</t>
  </si>
  <si>
    <t>1- Metodología aprobada.
2- Matrices completadas.
3 - Registro de participantes firmado.</t>
  </si>
  <si>
    <t>Potenciar el desarrollo del sector agropecuario.</t>
  </si>
  <si>
    <t>Impartición de talleres y mesas técnicas de trabajo.</t>
  </si>
  <si>
    <t>No. de talleres y mesas técnicas programadas.</t>
  </si>
  <si>
    <t>1 - Identificar proyectos existentes de cooperación.
2 - Gestionar expertos que expondrán el tema.
3 - Buscar el lugar para impartir el evento.
4 - Identificar las personas que asistirán al taller o mesa técnica.</t>
  </si>
  <si>
    <t>Informe de zonas con mejor desempeño productivo para la focalización de la inversión pública y privada.</t>
  </si>
  <si>
    <t>Informe realizado.</t>
  </si>
  <si>
    <t>1 - Identificar las zonas donde se hará el levantamiento.
2 - Visitar las zonas con el fin de verificar el desempeño productivo real.
3 - Elaboración del Informe.</t>
  </si>
  <si>
    <t>División de Cooperación Internacional.</t>
  </si>
  <si>
    <t>- Dirección de Recursos Humanos.
- Dirección Agropecuaria, Normas y Tecnología Alimentaria.
- Sección de Protocolo.</t>
  </si>
  <si>
    <t>1 - Matriz de Proyectos aprobado por la MAE.
2 - Informe de visitas con fotos, correos y/o llamadas a los diferentes expertos.
3 - Informe de solicitud del espacio para impartir evento.
4 - Listado de personas que asistirán al evento.</t>
  </si>
  <si>
    <t>1 - Informe de mapeo de las posibles zonas para el levantamiento.
2 - Fotos de las visitas realizadas a las zonas.
3 - Informe final aprobado por la MAE.</t>
  </si>
  <si>
    <t>Proveer a la Institución de una solución integral moderna para la gestión de sus operaciones con eficiencia y transparencia.</t>
  </si>
  <si>
    <t>INTRANET(Portal del empleado).</t>
  </si>
  <si>
    <t>No. de Módulos.</t>
  </si>
  <si>
    <t>1 - Digitalización de los puntos de ventas de los canales de comercialización.
2 - Actualización y estandarización de la página web.
3 - Instalación de pantallas e interconexión con el servidor.
4 - Instalación de software.
5 - Asignación de usuarios.</t>
  </si>
  <si>
    <t>No. de Aplicaciones.</t>
  </si>
  <si>
    <t>Mural Digital.</t>
  </si>
  <si>
    <t>Aplicaciones/Servicios Web.</t>
  </si>
  <si>
    <t>Proveer a la Institución de una solución integral (ERP) moderna para la gestión de sus operaciones con eficiencia y transparencia.</t>
  </si>
  <si>
    <t>Implementación de los módulos que componen la solución con la correspondiente migración de datos e integración entre los mismos.</t>
  </si>
  <si>
    <t>No. de Módulos implementados acorde al calendario de trabajo establecido.</t>
  </si>
  <si>
    <t>1 - Levantamiento del requerimiento.
2 - Selección software.
3 - Levantamiento de usuarios.
4 -Pruebas de módulos y permisos de usuarios.
5 - Asignación a usuarios finales.
6 - Implementación de módulos.</t>
  </si>
  <si>
    <t>Garantizar que la Institución opere con todas las licencias de software requeridas y aprobadas por la OPTIC.</t>
  </si>
  <si>
    <t>Normas TIC.</t>
  </si>
  <si>
    <t>Catálogo de Servicios TIC</t>
  </si>
  <si>
    <t>1 - Levantamiento Base: 
  * Inventario de Hardware y Software (a nivel del Cuarto de Servidores).
  * Carga de los datos a la solución de ITSM (Itop).
2 - Documentación de las Políticas y Procedimientos Internos del Departamento.</t>
  </si>
  <si>
    <t>.
 Adquirir licencias para el sistema operativo de las  computadoras y servidores.</t>
  </si>
  <si>
    <t>1- Cotizar licencias para computadoras y servidores.
2- Enviar propuestas a compras y esperar el proceso de licitación.
3- Instalar licencias de Windows 10 y Windows Server 2019 en servidores y computadoras.</t>
  </si>
  <si>
    <t xml:space="preserve"> Creación, configuración y mantenimiento de cuentas de correos institucionales.</t>
  </si>
  <si>
    <t>1 - Realizar un levantamiento de los empleados de la institución que deben tener creadas sus cuentas de correo y no lo utilizan.
2 - Crear las cuentas de correo. 
3 - Configurar las cuentas de correo.
4- Instalación de aplicación de correos Thunderbird.
5 - Eliminar las cuentas de correo de empleados que no estén en la institución.</t>
  </si>
  <si>
    <t>Estandarización de aplicaciones y control de licencias de software.</t>
  </si>
  <si>
    <t>1 - Crear el pool de aplicaciones que serán permitidas y ejecutadas en la institución.
2 - Licenciar todos los software instalados y ejecutados en las computadoras de la institución.
3 - Desinstalar aplicaciones no permitidas, como por ejemplo: Microsoft Office.</t>
  </si>
  <si>
    <t>No. de Aplicaciones permitidas y en uso.</t>
  </si>
  <si>
    <t>1 - Plan de Concienciación TIC.
2 - Implementación Tareas de Seguridad en los equipos de usuarios finales y servidores.
3 - Implementación Tareas para la eliminación de aplicaciones no autorizadas.</t>
  </si>
  <si>
    <t>Asegurar la operación ininterrumpida de los sistemas dentro del tiempo laboral establecido.</t>
  </si>
  <si>
    <t>Implementación de Hardware actualizados y contemporáneos.</t>
  </si>
  <si>
    <t>Instalación de computadoras modernas para mejorar y optimizar las funciones diarias de los usuarios de la institución.</t>
  </si>
  <si>
    <t>1 - Realizar un inventario de los equipos.
2 - Auditar la cantidad de computadoras a reemplazar.
3 - Gestionar cotizaciones de los equipos a adquirir.
4 - Iniciar proceso en compras para las licitaciones de las mismas.
5 - Recibir equipos nuevos y instalarle los sistemas que corren en la institución.
6 - Realizar backup de equipos y posterior instalación de los mismos a los usuarios finales.</t>
  </si>
  <si>
    <t>Implementación de un sistema de electricidad redundante.</t>
  </si>
  <si>
    <t>Instalación de un sistema de UPS centralizado.</t>
  </si>
  <si>
    <t>1 - Realizar levantamiento del sistema eléctrico de la institución.
2 - Cotizar UPS central.
3 - Enviar propuestas a comprar para que así inicie el proceso de licitación.
4 - Instalación de UPS central.</t>
  </si>
  <si>
    <t>Implementación de Planes de Contingencia de Servicios Catálogo TIC.</t>
  </si>
  <si>
    <t>No. de Planes de Contingencia y su procedimiento de puesta en operación para las aplicaciones y/o servicios críticos de la Institución</t>
  </si>
  <si>
    <t>1- Identificación de los servicios TIC sujetos a Contingencia. 
 Entregables: Inventario de servicios TIC sujetos a contingencia. Candidatos mínimos elegibles:
  * Servidor de Dominio.
  * Información NO Estructurada (File Server): Servidor/Datos,
  * Información Estructurada (Aplicaciones): Nómina, Contabilidad, Cheques, Activos Fijos.
 Requerimientos para la implementación de la contingencia 
2-Plan de Continuidad Servicios de Aplicaciones Actuales (Aplicaciones, Servicios). 
 Entregables: Plan de Continuidad: objetivo, alcance, condiciones y Procedimiento para la puesta en operación de las contingencia de los servicios TIC.
 * Pruebas documentales de los respaldos periódicos a las aplicaciones y bases de datos.
3- Pruebas de recuperación y verificación de los planes, reporte de estimación de pérdidas, plan de remediación 
 Entregables: Calendario de pruebas de recuperación.
 * Constancia firmada por los usuarios participantes en los ejercicios de recuperación de los resultados de las pruebas realizadas.</t>
  </si>
  <si>
    <t>Mejorar la seguridad de los equipos por medio de nuestro sistema de seguridad.</t>
  </si>
  <si>
    <t>Implementación de Planes de Continuidad de Operaciones TIC.</t>
  </si>
  <si>
    <t>Calendario de Mantenimiento Servidores.</t>
  </si>
  <si>
    <t>1- Levantamiento Base:
 * El levantamiento base, parte del inventario realizado para la carga al ITSM (Itop).  A partir de este levantamiento se determina la frecuencia de inspección y/o Mantenimiento de cada servidor o servicio. 
Reportes de dependencias de recursos (insumo para el BIA y definición de procedimientos de Contingencia).
 Entregables: Calendario de Mantenimiento anual. En dos presentaciones: 
  a) Calendario por Servidores/Servicio, que enfatiza la frecuencia de insp./Mant. De Cada servidor.
  b) Calendario inspección por Mes. Orientado a las tareas que deberán ejecutarse en el mes por las áreas responsables de los mismos.</t>
  </si>
  <si>
    <t>Calendario de Respaldos Servidores/Servicios.</t>
  </si>
  <si>
    <t>1- Levantamiento Base:
 * El levantamiento base, parte del inventario realizado para la carga al ITSM (Itop). A partir de este levantamiento se determina la frecuencia de inspección y/o Mantenimiento de cada servidor o servicio. 
Reportes de dependencias de recursos (insumo para el BIA y definición de procedimientos de Contingencia) 
 Entregables: Calendario de Mantenimiento anual. En dos presentaciones: 
  a) Calendario por Servidores/Servicio, que enfatiza la frecuencia de insp./Mant. De Cada servidor.
  b) Calendario inspección por Mes. Orientado a las tareas que deberán ejecutarse en el mes por las áreas responsables de los mismos.</t>
  </si>
  <si>
    <t>Plan de Continuidad de Operaciones para servicios de TI críticos de la Institución.</t>
  </si>
  <si>
    <t>1- Levantamiento requerimientos:
 * Inventario de activos de TI, sujetos al plan de continuidad de operaciones.
 * Dimensionamiento de la solución (Procesamiento, Memoria, Almacenamiento, Networking, etc.) tomando en cuenta la demanda actual, el crecimiento a futuro y las nuevas demandas generadas por la transformación digital.
 Insumos: Inventario de Activos TIC (Equipos, Servicios, etc.)
 Entregables: Términos de referencia del proyecto (Especificaciones técnicas, objetivos y alcance del proyecto).
2- Licitación, revisión de propuestas y adjudicación del proyecto. 
 * Acorde a los procesos de licitación definidos por la Ley de Compras y Contrataciones.
3- Instalación y puesta en marcha.
 Entregables: * Constancia de recepción de los equipos y licencias
 (de los departamentos de Inventarios y Activos Fijos).
 * Plan de implementación de la solución.</t>
  </si>
  <si>
    <t>Red WIFI Institucional</t>
  </si>
  <si>
    <t>1- Levantamiento de Campo: 
 * Delimitación de las áreas de cobertura WIFI Institucional para el área definida en el alcance del proyecto.
 * Establecimiento de la cantidad de equipos requeridos y las características de los mismos de acuerdo a cada ubicación.
 Entregable: Informe de cobertura y requerimientos técnicos del proyecto.
 (Este paso sirve de insumo para el proceso de adquisición de los equipos e implementos requeridos por el proyecto).
2- Implementar cableado y montar equipos en sus respectivos puntos o ubicación. 
 Entregable: Acuse de recibo de la infraestructura requerida (Cableado) y de los Access Points debidamente instalada en las ubicaciones acordadas.
3- Configuración de las diferentes redes de servicio WIFI que se ofrecerán sobre la infraestructura instalada: 
 * Red WIFI empleados para estaciones de trabajo inalámbricas (Laptops, Tablets).
 * Red WIFI empleados Dispositivos móviles.
 * Red WIFI para suplir Internet filtrado a invitados a través del portal cautivo de la Institución.</t>
  </si>
  <si>
    <t xml:space="preserve"> No. de Uptimes mensuales de los servicios.</t>
  </si>
  <si>
    <t>1 - Reemplazo de los equipos obsoletos.</t>
  </si>
  <si>
    <t>Optimización Infraestructura TIC.</t>
  </si>
  <si>
    <t>Recursos Compartidos (Expansión FileServer)</t>
  </si>
  <si>
    <t>1- Plan de concientización sobre el uso del repositorio institucional de datos, en lugar del uso de los equipos de trabajo individuales de los usuarios.
 Insumos: Política de información y comunicación (PO-DTI-001) y Política de Control de Acceso (PO-DTI-002).
 Evidencias: Circulares, memos, correos masivos sobre dicho asunto.
2- Calendario de auditorías selectivas a áreas y departamentos, para garantizar el apego a la política establecida. 
 Opcional. Se sugiere el establecimiento de una política de incentivo y penalidad para las áreas o departamentos según se acojan a esta política.</t>
  </si>
  <si>
    <t>Optimización Redes LAN/WAN</t>
  </si>
  <si>
    <t>1- Levantamiento requerimientos.
 * Inventario de activos de TI relativo a la redes de comunicaciones.
 * Dimensionamiento de la solución (switches, routers, servicios de comunicaciones contratados, etc.).
 Insumos: Inventario de Activos TIC (Equipos, servicios, etc.).
 Entregables: Términos de referencia del proyecto (Especificaciones técnicas, objetivos y alcance del proyecto).
2- Licitación, revisión de propuestas y adjudicación del proyecto. 
 * Acorde a los procesos de licitación definidos por la ley de compras y contrataciones.
3- Instalación y puesta en marcha. 
 Entregables: * Constancia de recepción de los equipos y licencias
 (de los departamentos de Inventarios y Activos Fijos).
 * Plan de implementación de la solución.</t>
  </si>
  <si>
    <t>Implementación Microsoft Office 365.</t>
  </si>
  <si>
    <t>1- Contratación del Servicio.
2- Instalación y puesta en marcha.
 Entregables: * Constancia de Instalación y registro de los usuarios en la plataforma de Microsoft Office 365.</t>
  </si>
  <si>
    <t>Actualización Seguridad equipos usuarios finales (EndPoints).</t>
  </si>
  <si>
    <t>1 – Instalación de EndPoint 11.5.</t>
  </si>
  <si>
    <t>- Departamento de Tecnología de la Información y Comunicación.
- División de Desarrollo e Implementación de Sistemas TIC.
- División de Administración de Servicios TIC.</t>
  </si>
  <si>
    <t>- Dirección de Recursos Humanos.
- División de Compras y Contrataciones</t>
  </si>
  <si>
    <t>1,2 - Publicación en Portal Web.
3 - Mural Digital en la Institución.
4,5 - Publicación en el Portal Web y APK.</t>
  </si>
  <si>
    <t>-Departamento de Tecnologías de la Información y Comunicación
- División de Desarrollo e Implementación de Sistemas TIC.</t>
  </si>
  <si>
    <t>- Diferentes departamentos involucrados en sus respectivas aplicaciones de gestión.
- División de Compras y Contrataciones.
- División de Administración de Servicios TIC.</t>
  </si>
  <si>
    <t>1,2,3,4,5,6 - Software instalado en los departamentos correspondientes.</t>
  </si>
  <si>
    <t>- Infraestructura TIC.</t>
  </si>
  <si>
    <t>- Departamento de Tecnologías de la Información y Comunicación.
- División de Desarrollo e Implementación de Sistemas TIC.</t>
  </si>
  <si>
    <t>1 -  Documentación Física o Electrónica del Catálogo de Servicios TIC.
2 - Documento Físico o Electrónico de las políticas y procedimientos internos.</t>
  </si>
  <si>
    <t>- División de Administración de Servicios TIC.
- División de Operaciones TIC.</t>
  </si>
  <si>
    <t>- División de Compras y Contrataciones.</t>
  </si>
  <si>
    <t>1 - Cotización de las licencias.
2 - Documento de la propuesta.
3 - Imágenes de validación.</t>
  </si>
  <si>
    <t>1, 2, 3, 4, 5 - Documento físico o electrónico del levantamiento de cuentas.</t>
  </si>
  <si>
    <t>- División de Administración de Servicios TIC.
- División de Seguridad y Monitoreo TIC.</t>
  </si>
  <si>
    <t>1 - Documento de levantamiento.
2 - Documento de aplicaciones con licencias.
3 - Documento de aplicaciones.</t>
  </si>
  <si>
    <t>- División de Administración de Servicios TIC.
- División de Seguridad y Monitoreo TIC.
- Infraestructura TIC.</t>
  </si>
  <si>
    <t>1 - Inventario de servicios TIC sujetos a contingencia.
2 - Requerimientos para la implementación de la contingencia.
3 - Constancia de adquisición de requerimientos de implementación.</t>
  </si>
  <si>
    <t>- División de Administración de Servicios TIC.</t>
  </si>
  <si>
    <t xml:space="preserve"> 1,2 - Inventario de Equipos.
3,4 - Documento físico de la cotización.
5,6 - Inventario final donde se contemple la instalación de las 74 computadoras nuevas.</t>
  </si>
  <si>
    <t>- Departamento Administrativo.
- Departamento de Ingeniería y Arquitectura. 
- División de Compras y Contrataciones.</t>
  </si>
  <si>
    <t>'- División de Compras y Contrataciones.</t>
  </si>
  <si>
    <t>1 - Relación de Servicios con Planes de Contingencia de Operaciones Definidos.
2 - Plan de acción concreto para cada servicio. Procedimientos y Condiciones para la puesta en operación de las contingencias de los servicios TIC.
3 - Instalación De Equipos Físicos o en las Nubes.</t>
  </si>
  <si>
    <t>'- Departamento de Tecnologías de la Información y Comunicación Desarrollo TIC.</t>
  </si>
  <si>
    <t>1 - Calendario de Inspección y Mantenimiento de los Servidores y/o Servicios TIC para todo el año.
Estructura (Carpeta) para el registro (Bitácora) de las inspecciones realizadas a cada Servidor/Servicio así como el registro de incidentes o actualizaciones realizadas.</t>
  </si>
  <si>
    <t>'- Departamento de Tecnología de la Información y Comunicación Desarrollo TIC.</t>
  </si>
  <si>
    <t>1 - Calendario de Respaldo (Backup) a  Servidores y/o Servicios TIC para todo el año.</t>
  </si>
  <si>
    <t>1 - Relación de Servicios con Planes de Continuidad de Operaciones Definidos.
2,3 - Plan de Acción concreto para cada servicio, con la descripción detallada y autocontenida para realizar todo el proceso.</t>
  </si>
  <si>
    <t>1 - Plano de Cobertura WIFI Institucional para el área indicada en el alcance, que también indicará la cantidad y especificaciones técnicas de los Access Points a implementar.
2 - Certificación de Disponibilidad WIFI Institucional en el área de cobertura definida en el punto a.
3 - Portal cautivo para el acceso a la red WIFI de nuestra institución.</t>
  </si>
  <si>
    <t>1 - Cronograma de Servicios y Soporte Técnico.</t>
  </si>
  <si>
    <t>1,2 - Estructura de carpetas compartidas por departamentos (Documento de acceso restringido).</t>
  </si>
  <si>
    <t>1 - Nuevo Diseño LAN/WAN de las áreas bajo el alcance definido.
2 - Lista de Vlans definidas (Documento de acceso restringido).
3 - Contratos nuevos servicios de Conectividad (WAN Administrada).</t>
  </si>
  <si>
    <t>- Departamento de Tecnologías de la Información y Comunicación Desarrollo TIC.</t>
  </si>
  <si>
    <t>1,2 - Lista de usuarios con licencias de uso de Office 365 .</t>
  </si>
  <si>
    <t>1 - Instalación Física del Equipo.</t>
  </si>
  <si>
    <t xml:space="preserve">Cumplir con todas las redacciones y remisiones de contratos.                                                                                                                                                                                                                                                                                                                                                                                                                                                                                                                                                                                                                                                                                                                                                  </t>
  </si>
  <si>
    <t>Contratos Varios.</t>
  </si>
  <si>
    <t>No. de Contratos ejecutados.</t>
  </si>
  <si>
    <t>1 - Solicitud de redacción.
2 - Verificación de requisitos.
3 - Redacción y remisión.</t>
  </si>
  <si>
    <t>Asegurar el cumplimiento del proceso según la Ley.</t>
  </si>
  <si>
    <t>Demandas varias.</t>
  </si>
  <si>
    <t>No. de Demandas ejecutadas.</t>
  </si>
  <si>
    <t>1 - Notificación del expediente.
2 - Asignación a un abogado.
3 - Representación y asistencia a las audiencias.</t>
  </si>
  <si>
    <t>Cerrar acuerdos en beneficio de la Institución.</t>
  </si>
  <si>
    <t>Acuerdos interinstitucionales.</t>
  </si>
  <si>
    <t>No. de Acuerdos ejecutados.</t>
  </si>
  <si>
    <t>1 - Redacción de acuerdos.</t>
  </si>
  <si>
    <t>Licitar según la Ley para adquirir productos al mejor precio.</t>
  </si>
  <si>
    <t>Licitaciones y comparación de precios.</t>
  </si>
  <si>
    <t>No. de Licitaciones y comparación de precios ejecutadas.</t>
  </si>
  <si>
    <t>1 - Verificación de requisitos legales y seguimiento a procesos.</t>
  </si>
  <si>
    <t>Cumplir con los procesos anuales de la Institución.</t>
  </si>
  <si>
    <t>Actas reunión de Directorio.</t>
  </si>
  <si>
    <t>No. de Actas redactadas.</t>
  </si>
  <si>
    <t xml:space="preserve">1 - Verificación del cumplimiento de las normas.
2 - Redacción de documentos legales.  </t>
  </si>
  <si>
    <t>Cumplir con todos los Acuerdos Pautados siempre apegados a la Ley.</t>
  </si>
  <si>
    <t>Acuerdos de pago de prestaciones laborales.</t>
  </si>
  <si>
    <t>No. de Acuerdos de pago ejecutados.</t>
  </si>
  <si>
    <t>1 - Solicitud de redacción de acuerdo.
2 - Redacción de acuerdo.
3 - Obtención de firmas y legalización.</t>
  </si>
  <si>
    <t>Cumplir con los pagos de beneficios laborales según desvinculaciones.</t>
  </si>
  <si>
    <t>Recibo descargos por beneficios laborales.</t>
  </si>
  <si>
    <t>No. de Recibos de descargos redactados.</t>
  </si>
  <si>
    <t>1 - Copia de cheque recibido.
2 - Redacción y se anexa al expediente correspondiente.</t>
  </si>
  <si>
    <t>Unidad de Contratos.</t>
  </si>
  <si>
    <t>- Dirección de Recursos Humanos.
- Departamento de Comunicaciones.</t>
  </si>
  <si>
    <t>1 - Solicitud por escrito.
2 - Expediente remitido.
3 - Contrato redactado.</t>
  </si>
  <si>
    <t>Unidad de Litigios.</t>
  </si>
  <si>
    <t>Departamento Jurídico.</t>
  </si>
  <si>
    <t>1 - Expediente notificado por Alguacil.
2 - Documento de apoderamiento al abogado.
3 - Actas de audiencias y documentos depositados en los tribunales.</t>
  </si>
  <si>
    <t>1 - Acuerdos redactados.</t>
  </si>
  <si>
    <t>División de Compras y Contrataciones.</t>
  </si>
  <si>
    <t>Unidad Legal de Compras.</t>
  </si>
  <si>
    <t>1 - Documentos redactados para los procesos cargados en el portal institucional.</t>
  </si>
  <si>
    <t xml:space="preserve">1 - Documentos en físico.
2 - Documentos redactados. </t>
  </si>
  <si>
    <t>1 - Demandas laborales, sentencias definitivas, cartas de desvinculación o contratos incumplidos.
2 - Acuerdos redactados.
3 - Acuerdos firmados y legalizados por notario.</t>
  </si>
  <si>
    <t>Departamento Financiero.</t>
  </si>
  <si>
    <t xml:space="preserve">1 - Copia del cheque.
2 - Recibo de descargo redactado.                            </t>
  </si>
  <si>
    <t>Agilizar los procesos de consultas de expedientes del departamento, ahorrando el tiempo que actualmente se invierte en trasladarse al archivo e identificar el expediente específico que se busca.</t>
  </si>
  <si>
    <t>Digitalización de Expedientes Financieros.</t>
  </si>
  <si>
    <t>No. de expedientes digitalizados.</t>
  </si>
  <si>
    <t>1 - Solicitud de dos nuevos recursos para el área financiera.
2 - Evaluación de prospectos.
3 - Contratación.
4 - Solicitud de equipos scanner.</t>
  </si>
  <si>
    <t>Adquirir los productos, insumos  planificados.</t>
  </si>
  <si>
    <t>Informes de ejecución del Plan de Compras 2021.</t>
  </si>
  <si>
    <t>No. de informes ejecutados.</t>
  </si>
  <si>
    <t>1 - Solicitar requerimientos de insumos a las áreas.
2 - Ajuste del Plan de Compras al presupuesto aprobado.
3 - Consolidación de requerimientos.
4 - Ejecución del proceso de compras.
5 - Actualizar y compartir Informe de Ejecución del Plan de Compras.</t>
  </si>
  <si>
    <t>Eficientizar los procesos de gestión de la información financiera.</t>
  </si>
  <si>
    <t>Solicitud de creación de Sistema generador de reportes.</t>
  </si>
  <si>
    <t>Sistema generador de reportes creado.</t>
  </si>
  <si>
    <t>1 - Seguimiento a la implementación de software de gestión.
2 - Realizar mesas de trabajo donde se estructure las necesidades y procesos del Departamento Financiero.
3 - Solicitar capacitación para el personal.</t>
  </si>
  <si>
    <t>Mejorar el espacio de trabajo para una mejor interacción de las divisiones del Departamento Financiero.</t>
  </si>
  <si>
    <t>Solicitud de Remodelación de las oficinas de la Dirección.</t>
  </si>
  <si>
    <t>Solicitud de la remodelación de las oficinas aprobada y ejecutada.</t>
  </si>
  <si>
    <t>1 - Levantamiento del espacio de trabajo del Departamento Financiero.
2 - Elaboración y aprobación de planos para las remodelaciones de lugar.
3 - Ejecución de remodelación.</t>
  </si>
  <si>
    <t>Mejorar el espacio de almacenamiento de expedientes financieros de la Institución.</t>
  </si>
  <si>
    <t>Solicitud de mudanza de archivo de expedientes financieros.</t>
  </si>
  <si>
    <t>Solicitud de mudanza aprobada y ejecutada.</t>
  </si>
  <si>
    <t>1 - Alquiler de espacio físico.
2 - Adquisición de anaqueles.
3 - Traslado de expedientes.</t>
  </si>
  <si>
    <t>Facilitar a cada colaborador con las herramientas necesarias para realizar su trabajo de maneja efectiva.</t>
  </si>
  <si>
    <t>Solicitud de Compra de computadoras para equipo de Contabilidad.</t>
  </si>
  <si>
    <t>No. de computadoras solicitadas y compradas.</t>
  </si>
  <si>
    <t>1 - Enviar requerimiento de equipos para División de Contabilidad.
2 - Ejecución del debido proceso de compras.
3 - Instalación de equipos.</t>
  </si>
  <si>
    <t>Honrar los compromisos financieros asumidos por la Institución.</t>
  </si>
  <si>
    <t>Recepción  de ingresos producto de las actividades de la Institución.</t>
  </si>
  <si>
    <t>No. de reportes mensuales de ingresos internos.</t>
  </si>
  <si>
    <t>1 - Recepción en caja de ingresos producto de las actividades de la Institución.
2 - Dar entrada al efectivo.
3 - Elaborar reporte de ingresos.</t>
  </si>
  <si>
    <t>Ejecución de los pagos de sueldos y otros compromisos al personal institucional.</t>
  </si>
  <si>
    <t>No. de relaciones de pagos de nómina.</t>
  </si>
  <si>
    <t xml:space="preserve">1 - Recepción de las instrucciones de pago de nómina de parte del Departamento de Registro, Control y Nómina.
2 - Ejecución de los pagos electrónicos. </t>
  </si>
  <si>
    <t>Ejecución de los pagos a suplidores.</t>
  </si>
  <si>
    <t>No. de relaciones de pagos a suplidores.</t>
  </si>
  <si>
    <t xml:space="preserve">1 - Recepción de facturas de suplidores.
2 - Ejecución de los pagos. </t>
  </si>
  <si>
    <t>Aportar claridad de las operaciones de la Institución al Gobierno Central y a la población.</t>
  </si>
  <si>
    <t>Estados Financieros Mensuales.</t>
  </si>
  <si>
    <t>No. Publicación de Estados Financieros.</t>
  </si>
  <si>
    <t>1 - Registrar transacciones. 
2 - Contabilizar transacciones en el libro mayor. 
3 - Preparar las entradas de ajuste al final del período. 
4 - Preparar un balance de comprobación ajustado. 
5 - Realizar inventario de activos fijos.</t>
  </si>
  <si>
    <t>Proveer seguimiento oportuno Al Presupuesto anual aprobado para la Institución.</t>
  </si>
  <si>
    <t>Informes Mensuales de Ejecución Presupuestaria 2021.</t>
  </si>
  <si>
    <t>No. de Informes ejecutados.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</si>
  <si>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requerientes.</t>
  </si>
  <si>
    <t>Departamento Financiero
Departamento Administrativo</t>
  </si>
  <si>
    <t>-Dirección de Recursos Humanos.
-División de Compras y Contrataciones.</t>
  </si>
  <si>
    <t>1 - Carta de solicitud de personal.
2 - Cotizaciones.
3 - Contrato.
4 - Carta de solicitud equipos scanner.</t>
  </si>
  <si>
    <t>División de Compras y Contrataciones</t>
  </si>
  <si>
    <t>1 - Formularios de requerimientos de insumos a las áreas.
2 - Plan de Compras al presupuesto aprobado.
3 - Expedientes de requerimientos por área.
4 - Plataforma Dirección General de Compras y Contrataciones.
5 - Informe de Ejecución del Plan de Compras.</t>
  </si>
  <si>
    <t>Departamento Financiero</t>
  </si>
  <si>
    <t>-Departamento de Tecnologías de la Información y Comunicación.
-Dirección de Recursos Humanos.</t>
  </si>
  <si>
    <t>1 - Hoja de desarrollo del software de gestión.
2 - Hoja de asistencia mesas de trabajo donde se estructuren las necesidades y procesos del Departamento Financiero.
3 - Carta de solicitud capacitación para el personal.</t>
  </si>
  <si>
    <t>Departamento Administrativo</t>
  </si>
  <si>
    <t>-Departamento de Ingeniería y Arquitectura.</t>
  </si>
  <si>
    <t>1 - Planos para las remodelaciones de lugar.
2 - Planos aprobados para las remodelaciones de lugar.
3 - Espacio terminado.</t>
  </si>
  <si>
    <t>-Departamento Administrativo.
-División de Compras y Contrataciones.
-Servicio externo de mudanza.</t>
  </si>
  <si>
    <t>1 - Contrato de alquiler de espacio físico.
2 - Factura de compras de anaqueles.
3 - Control de traslado de expedientes.</t>
  </si>
  <si>
    <t>-Departamento de Tecnologías de la Información y Comunicación
-División de Compras y Contrataciones</t>
  </si>
  <si>
    <t>1 - Carta de solicitud de compras de equipos para División de Contabilidad.
2 - Expediente de este proceso en específico de compras.
3 - Equipos instalados.</t>
  </si>
  <si>
    <t>-División de Tesorería.</t>
  </si>
  <si>
    <t>1 - Conduce de ingresos producto de las actividades de la Institución.
2 - Reporte firmado del conteo del efectivo.
3 - Documento reporte de ingresos.</t>
  </si>
  <si>
    <t>-Departamento de Registro, Control y Nómina.</t>
  </si>
  <si>
    <t xml:space="preserve">1 - Archivo Excel de las instrucciones de pago de nómina de parte del Departamento de Registro, Control y Nómina.
2 - Reporte de transferencias electrónicas. </t>
  </si>
  <si>
    <t>-Departamento de Normas, Sistemas, Supervisión y Seguimiento.</t>
  </si>
  <si>
    <t xml:space="preserve">1 - Facturas de suplidores.
2 - Cheques. </t>
  </si>
  <si>
    <t>Departamento Financiero
División de Activos Fijos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</si>
  <si>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</si>
  <si>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</si>
  <si>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</si>
  <si>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Cumplir con los requisitos y recomendaciones de la Ley 41-08 de Administración Pública.</t>
  </si>
  <si>
    <t>1 - Detección de necesidades de capacitación por áreas.
2 - Realizar Plan de Capacitación.
3 -Remitir plan al INAP.</t>
  </si>
  <si>
    <t>1 - Levantamiento de vacaciones del personal por área.
2 - Informe calendario de vacaciones por área.
3 - Remisión informe a las áreas.</t>
  </si>
  <si>
    <t>1 - Identificar las novedades para nómina.
2 - Aplicar las novedades.
3 - Generar documento de nómina.
4 - Autorizar con firmas.
5 - Enviar al Departamento Financiero.</t>
  </si>
  <si>
    <t>Actualización de la rotaciones y absentismo del personal.</t>
  </si>
  <si>
    <t>No. de Informes de absentismo y rotación de personal.</t>
  </si>
  <si>
    <t>1 - Generar el informe del reloj de ponche.</t>
  </si>
  <si>
    <t>1 - Detección de necesidades de personal.
2 - Completar plantilla de Planificación de RRHH.
3 - Enviar al MAP la plantilla.
4 - Realización del concurso.
5 - Nombramiento del personal.</t>
  </si>
  <si>
    <t>Desarrollar un ambiente confortable y organizado para poder trabajar de manera óptima.</t>
  </si>
  <si>
    <t>1 - Revisión del Manual de Cargos.
2 - Aplicación de los cambios.
3 - Enviar al MAP para su revisión y aprobación.
4 - Socializar el Manual de Cargos.</t>
  </si>
  <si>
    <t>1 - Completar las plantillas de Planificación de Recursos Humanos.</t>
  </si>
  <si>
    <t>Fomentar la colaboración y el involucramiento del personal para contar con un entorno agradable y seguro con un liderazgo efectivo.</t>
  </si>
  <si>
    <t>Actualización del Comité de la Salud y Seguridad en el Trabajo (SISTAP).</t>
  </si>
  <si>
    <t>Actualización de la Asociación de Servidores Públicos (ASP).</t>
  </si>
  <si>
    <t>1 - Solicitud al MAP.
2 - Determinación de la muestra.
3 - Período de aplicación de la encuesta.
4 - Informe de resultados.
5 - Socialización.
6 - Plan de acción.
7 - Informe de resultados del Plan de Acción.</t>
  </si>
  <si>
    <t>1 - Carta de desvinculación del personal.
2 - Entrega a las personas correspondientes.
3 - Cálculo de prestaciones.
4 - Solicitud de pago a Dirección Administrativa Financiera.</t>
  </si>
  <si>
    <t>1- Cantidad de acuerdos de desempeño firmados. Correos. Informes. Indicador SISMAP.</t>
  </si>
  <si>
    <t>1 - Formulario Detección de Necesidades de capacitación.
2 - Plan de Capacitación formulado.
3 - Comunicación.</t>
  </si>
  <si>
    <t>1 - Correos.
2 - Comunicaciones.
3 - Indicador SISMAP.</t>
  </si>
  <si>
    <t>1 - Comunicaciones.
2 - Correos.
3 - Calendario de vacaciones.</t>
  </si>
  <si>
    <t>1,2,3,4 - Acciones de personal.
5 - Nómina publicada en el portal web de la Institución.</t>
  </si>
  <si>
    <t>1 - Informe de registro y control. Indicador SISMAP.</t>
  </si>
  <si>
    <t>1 - Comunicaciones.
2 - Plantilla de Planificación de RRHH creada.
3 - Correo electrónico al MAP.
4 - Convocatoria a 'Concursos publicados en la página Concurso del MAP.
5 - Acta final concurso.</t>
  </si>
  <si>
    <t>1 - Comunicaciones
2 - Designaciones.
3 - Acciones de personal.</t>
  </si>
  <si>
    <t>1,2,3,4 - Comunicaciones y correos.</t>
  </si>
  <si>
    <t>1 - Plantillas completadas, Planificación Publicada en el SISMAP.</t>
  </si>
  <si>
    <t>1 - Empleados reconocidos.
2 - Registros de participantes.
3,4 - Correos.</t>
  </si>
  <si>
    <t>1,2 - Correos. Registro de participantes.
3 - Acta constitutiva.
4,5,6 - Indicador SISMAP.</t>
  </si>
  <si>
    <t>1 - Correos.
2 - Registro de participantes.
3 - Acta constitutiva.
4 - Indicador SISMAP.</t>
  </si>
  <si>
    <t>1,2,3,4 - Correos.
5 - Registro de participantes. Informe de resultados.
6 - Plan de acción.
7 - Indicador SISMAP. Comunicaciones.</t>
  </si>
  <si>
    <t>1 - Comunicación enviada al MAP.
2 - Indicador SISMAP.</t>
  </si>
  <si>
    <t>1,2 - Comunicaciones.
3 - Hoja de calculo Reclasoft.
4 - Comunicación solicitud pago de prestaciones.</t>
  </si>
  <si>
    <t>Garantizar a los ciudadanos el acceso a la información.</t>
  </si>
  <si>
    <t>Informaciones Publicadas del Portal de Transparencia.</t>
  </si>
  <si>
    <t>No. de Informaciones publicadas.</t>
  </si>
  <si>
    <t>1 - Recepción y validación de las informaciones.
2 - Actualización en el portal de Transparencia.</t>
  </si>
  <si>
    <t>Asociaciones del Comité de Compras y Contrataciones.</t>
  </si>
  <si>
    <t>No. de Convocatorias a reuniones.</t>
  </si>
  <si>
    <t>1 - Participación en los procesos de Compras y Contrataciones.</t>
  </si>
  <si>
    <t>Cumplir con el plazo de 15 días hábiles para dar respuesta según lo establecido por la Ley  200-04 y su Reglamento No.130-05.</t>
  </si>
  <si>
    <t>Solicitudes de Información.</t>
  </si>
  <si>
    <t>No. de estadísticas trimestrales de la OAI.</t>
  </si>
  <si>
    <t>1 - Recepción de solicitud.
2 - Gestión de respuesta en el área correspondiente.
3 -  Formalización de respuesta de OAI a solicitante.</t>
  </si>
  <si>
    <t>Mantener una puntuación sobresaliente en las evaluaciones del órgano rector (DIGEIG).</t>
  </si>
  <si>
    <t>Evaluación mensual del DIGEIG.</t>
  </si>
  <si>
    <t>No. de Publicaciones mensuales de resultados de evaluación.</t>
  </si>
  <si>
    <t>1 - Pre-evaluación de la DIGEIG.
2 - Subsanación.
3 - Evaluación final de la DIGEIG.</t>
  </si>
  <si>
    <t>Mantener una gestión Institucional libre de corrupción y apegada a la transparencia.</t>
  </si>
  <si>
    <t>Informes de la Comisión de Ética.</t>
  </si>
  <si>
    <t>No. de Informes trimestrales del Plan de Trabajo CEP.</t>
  </si>
  <si>
    <t>1 - Desarrollo de cada trimestre según las actividades pautadas en el Plan de Trabajo.
2 -  Evaluación y envío de evidencias a la DIGEIG.</t>
  </si>
  <si>
    <t>Oficina de Libre Acceso a la Información.</t>
  </si>
  <si>
    <t>Departamentos internos del INESPRE.</t>
  </si>
  <si>
    <t>1 - Correos electrónicos.
2 - Portal de Transparencia.</t>
  </si>
  <si>
    <t>1 - Convocatorias a reuniones del Comité de Compras.</t>
  </si>
  <si>
    <t>1 - Cuadro de estadísticas OAI trimestral.
2 - Comunicaciones a los departamentos internos.
3 - Comunicación de respuesta al solicitante.</t>
  </si>
  <si>
    <t>1 - Informe de evaluación preliminar.
2 - Informe de evaluación preliminar con observaciones.
3 - Reporte de evaluación final emitida por la DIGEIG.</t>
  </si>
  <si>
    <t>Comisión de Ética.</t>
  </si>
  <si>
    <t xml:space="preserve">1 - Listado de asistencia, correos electrónicos masivos, convocatorias.
2 - Informes trimestrales publicados en el portal de Transparencia. </t>
  </si>
  <si>
    <t> </t>
  </si>
  <si>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</si>
  <si>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</si>
  <si>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Yohabel Mañón
</t>
    </r>
    <r>
      <rPr>
        <sz val="11"/>
        <color indexed="8"/>
        <rFont val="Times New Roman"/>
        <family val="1"/>
      </rPr>
      <t>Encargada de Oficina de Libre Acceso a la Información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</si>
  <si>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</si>
  <si>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</si>
  <si>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</si>
  <si>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Teresa Mota
</t>
    </r>
    <r>
      <rPr>
        <sz val="11"/>
        <color indexed="8"/>
        <rFont val="Times New Roman"/>
        <family val="1"/>
      </rPr>
      <t>Directora de Gestión de Programas</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</si>
  <si>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</si>
  <si>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</si>
  <si>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</si>
  <si>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</si>
  <si>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t>1 - Programación de abastecimiento y distribución.
2 - Reporte diario de abastecimiento y distribución.
3 - Reporte diario de abastecimiento y distribución.
4 - Documento interno MP5 y MP12.
5 - Documento de carga/descarga.</t>
  </si>
  <si>
    <t>-Departamento de Tecnologías de la Información y Comunicación.</t>
  </si>
  <si>
    <t>1,2 - Videos de la actividad, memorias.
3 - Video en las redes sociales.</t>
  </si>
  <si>
    <t>1 - Ocasión de interés.
2 - Comunicación, grabación.
3 - Páginas institucionales, redes y medios impresos.</t>
  </si>
  <si>
    <t>No. de Circuitos de pantalla instalados.</t>
  </si>
  <si>
    <t>1 - Diagnóstico de la situación actual.
2 - Documento físico de la cotización.
3 - Documento de adjudicación de compras.
4 - Documento con imágenes del UPS instalado.</t>
  </si>
  <si>
    <t>-Dirección de Comercialización</t>
  </si>
  <si>
    <r>
      <t xml:space="preserve">Lic. Karina Esther Muñoz
</t>
    </r>
    <r>
      <rPr>
        <sz val="11"/>
        <color indexed="8"/>
        <rFont val="Times New Roman"/>
        <family val="1"/>
      </rPr>
      <t>Encargada División de Formulación, Monitoreo y Evaluación de PPP</t>
    </r>
  </si>
  <si>
    <t>1 - Solicitud enviada y firmada por el área.
2 - Propuestas enviadas y mesas de trabajo realizadas.
3 - Plan elaborado y publicado en la plataforma NOBACI.</t>
  </si>
  <si>
    <t>Cuarto Trimestre</t>
  </si>
  <si>
    <r>
      <t xml:space="preserve">Lic. Obispo de los Santos
</t>
    </r>
    <r>
      <rPr>
        <sz val="11"/>
        <color indexed="8"/>
        <rFont val="Times New Roman"/>
        <family val="1"/>
      </rPr>
      <t xml:space="preserve">Sub-Director </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</si>
  <si>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</si>
  <si>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</si>
  <si>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r>
      <t xml:space="preserve">Ing. Erick Sánchez 
</t>
    </r>
    <r>
      <rPr>
        <sz val="11"/>
        <color indexed="8"/>
        <rFont val="Times New Roman"/>
        <family val="1"/>
      </rPr>
      <t>Analista</t>
    </r>
  </si>
  <si>
    <r>
      <t xml:space="preserve">Lic. Ivanna Sánchez 
</t>
    </r>
    <r>
      <rPr>
        <sz val="11"/>
        <color indexed="8"/>
        <rFont val="Times New Roman"/>
        <family val="1"/>
      </rPr>
      <t>Analista</t>
    </r>
    <r>
      <rPr>
        <b/>
        <sz val="11"/>
        <color indexed="8"/>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</si>
</sst>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 ;&quot; (&quot;#,##0.00\);&quot; -&quot;#\ ;@\ "/>
    <numFmt numFmtId="165" formatCode="[$-409]General"/>
    <numFmt numFmtId="166" formatCode="#,##0.00&quot; &quot;;&quot; (&quot;#,##0.00&quot;)&quot;;&quot; -&quot;#&quot; &quot;;@&quot; &quot;"/>
    <numFmt numFmtId="167" formatCode="[$$-409]#,##0.00;[Red]&quot;-&quot;[$$-409]#,##0.00"/>
    <numFmt numFmtId="168" formatCode="[$$-409]#,##0.00;[Red]\-[$$-409]#,##0.00"/>
    <numFmt numFmtId="169" formatCode="&quot;RD&quot;&quot;$&quot;#,##0"/>
    <numFmt numFmtId="170" formatCode="[$-409]#,##0"/>
  </numFmts>
  <fonts count="47" x14ac:knownFonts="1">
    <font>
      <sz val="11"/>
      <color theme="1"/>
      <name val="Calibri"/>
      <family val="2"/>
      <scheme val="minor"/>
    </font>
    <font>
      <sz val="11"/>
      <color theme="1"/>
      <name val="Calibri"/>
      <family val="2"/>
      <scheme val="minor"/>
    </font>
    <font>
      <sz val="11"/>
      <color indexed="8"/>
      <name val="Calibri"/>
      <family val="2"/>
    </font>
    <font>
      <b/>
      <sz val="11"/>
      <color indexed="8"/>
      <name val="Calibri"/>
      <family val="2"/>
    </font>
    <font>
      <b/>
      <sz val="24"/>
      <color indexed="8"/>
      <name val="Calibri"/>
      <family val="2"/>
    </font>
    <font>
      <b/>
      <sz val="24"/>
      <color indexed="8"/>
      <name val="Times New Roman"/>
      <family val="1"/>
    </font>
    <font>
      <sz val="10"/>
      <name val="Verdana"/>
      <family val="2"/>
    </font>
    <font>
      <sz val="10"/>
      <color indexed="8"/>
      <name val="Arial"/>
      <family val="2"/>
    </font>
    <font>
      <sz val="11"/>
      <color indexed="8"/>
      <name val="Times New Roman"/>
      <family val="1"/>
    </font>
    <font>
      <b/>
      <sz val="16"/>
      <color indexed="8"/>
      <name val="Times New Roman"/>
      <family val="1"/>
    </font>
    <font>
      <sz val="16"/>
      <color indexed="8"/>
      <name val="Times New Roman"/>
      <family val="1"/>
    </font>
    <font>
      <sz val="11"/>
      <color rgb="FF000000"/>
      <name val="Calibri"/>
      <family val="2"/>
    </font>
    <font>
      <b/>
      <sz val="16"/>
      <color rgb="FF000000"/>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u/>
      <sz val="11"/>
      <color rgb="FF0563C1"/>
      <name val="Calibri"/>
      <family val="2"/>
    </font>
    <font>
      <sz val="11"/>
      <color rgb="FF000000"/>
      <name val="Calibri"/>
      <family val="2"/>
      <charset val="1"/>
    </font>
    <font>
      <b/>
      <i/>
      <sz val="16"/>
      <color rgb="FF000000"/>
      <name val="Arial"/>
      <family val="2"/>
    </font>
    <font>
      <b/>
      <i/>
      <sz val="16"/>
      <color rgb="FF000000"/>
      <name val="Arial"/>
      <family val="2"/>
      <charset val="1"/>
    </font>
    <font>
      <sz val="10"/>
      <color rgb="FF000000"/>
      <name val="Verdana"/>
      <family val="2"/>
      <charset val="1"/>
    </font>
    <font>
      <sz val="11"/>
      <color rgb="FF000000"/>
      <name val="Arial"/>
      <family val="2"/>
      <charset val="1"/>
    </font>
    <font>
      <sz val="10"/>
      <color rgb="FF000000"/>
      <name val="Arial"/>
      <family val="2"/>
    </font>
    <font>
      <b/>
      <i/>
      <u/>
      <sz val="11"/>
      <color rgb="FF000000"/>
      <name val="Arial"/>
      <family val="2"/>
    </font>
    <font>
      <b/>
      <i/>
      <u/>
      <sz val="11"/>
      <color rgb="FF000000"/>
      <name val="Arial"/>
      <family val="2"/>
      <charset val="1"/>
    </font>
    <font>
      <b/>
      <sz val="20"/>
      <color theme="0"/>
      <name val="Calibri"/>
      <family val="2"/>
      <scheme val="minor"/>
    </font>
    <font>
      <b/>
      <sz val="20"/>
      <name val="Calibri"/>
      <family val="2"/>
      <scheme val="minor"/>
    </font>
    <font>
      <b/>
      <sz val="12"/>
      <name val="Calibri"/>
      <family val="2"/>
      <scheme val="minor"/>
    </font>
    <font>
      <b/>
      <sz val="12"/>
      <color theme="0"/>
      <name val="Calibri"/>
      <family val="2"/>
      <scheme val="minor"/>
    </font>
    <font>
      <sz val="12"/>
      <color theme="1"/>
      <name val="Calibri"/>
      <family val="2"/>
      <scheme val="minor"/>
    </font>
    <font>
      <sz val="20"/>
      <color theme="1"/>
      <name val="Calibri"/>
      <family val="2"/>
      <scheme val="minor"/>
    </font>
    <font>
      <sz val="12"/>
      <name val="Calibri"/>
      <family val="2"/>
      <scheme val="minor"/>
    </font>
    <font>
      <b/>
      <sz val="12"/>
      <color theme="1"/>
      <name val="Calibri"/>
      <family val="2"/>
      <scheme val="minor"/>
    </font>
    <font>
      <b/>
      <sz val="12"/>
      <color theme="1"/>
      <name val="Arial"/>
      <family val="2"/>
    </font>
    <font>
      <sz val="12"/>
      <color rgb="FF000000"/>
      <name val="Calibri"/>
      <family val="2"/>
    </font>
    <font>
      <b/>
      <sz val="12"/>
      <color theme="1"/>
      <name val="Calibri"/>
      <family val="2"/>
    </font>
    <font>
      <b/>
      <sz val="12"/>
      <color rgb="FF000000"/>
      <name val="Calibri"/>
      <family val="2"/>
    </font>
    <font>
      <b/>
      <sz val="12"/>
      <name val="Calibri"/>
      <family val="2"/>
    </font>
    <font>
      <sz val="12"/>
      <color rgb="FF000000"/>
      <name val="Calibri"/>
      <family val="2"/>
      <scheme val="minor"/>
    </font>
    <font>
      <b/>
      <sz val="12"/>
      <color rgb="FF000000"/>
      <name val="Calibri"/>
      <family val="2"/>
      <scheme val="minor"/>
    </font>
    <font>
      <sz val="10"/>
      <name val="Calibri"/>
      <family val="2"/>
      <scheme val="minor"/>
    </font>
    <font>
      <sz val="12"/>
      <name val="Calibri"/>
      <family val="2"/>
    </font>
    <font>
      <sz val="12"/>
      <color rgb="FF000000"/>
      <name val="Calibri"/>
      <family val="2"/>
      <charset val="1"/>
    </font>
    <font>
      <sz val="11"/>
      <color rgb="FF000000"/>
      <name val="Calibri"/>
      <family val="2"/>
      <scheme val="minor"/>
    </font>
  </fonts>
  <fills count="12">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theme="0"/>
        <bgColor indexed="64"/>
      </patternFill>
    </fill>
    <fill>
      <patternFill patternType="solid">
        <fgColor theme="0" tint="-0.14999847407452621"/>
        <bgColor indexed="64"/>
      </patternFill>
    </fill>
    <fill>
      <patternFill patternType="solid">
        <fgColor rgb="FF385723"/>
        <bgColor indexed="64"/>
      </patternFill>
    </fill>
    <fill>
      <patternFill patternType="solid">
        <fgColor rgb="FFA9D18D"/>
        <bgColor indexed="64"/>
      </patternFill>
    </fill>
    <fill>
      <patternFill patternType="solid">
        <fgColor rgb="FF70AD47"/>
        <bgColor indexed="64"/>
      </patternFill>
    </fill>
    <fill>
      <patternFill patternType="solid">
        <fgColor rgb="FFFFFFFF"/>
        <bgColor rgb="FFFFFFFF"/>
      </patternFill>
    </fill>
    <fill>
      <patternFill patternType="solid">
        <fgColor rgb="FFFFFFFF"/>
        <bgColor rgb="FFFFFFCC"/>
      </patternFill>
    </fill>
    <fill>
      <patternFill patternType="solid">
        <fgColor rgb="FFDDDDDD"/>
        <bgColor indexed="64"/>
      </patternFill>
    </fill>
  </fills>
  <borders count="87">
    <border>
      <left/>
      <right/>
      <top/>
      <bottom/>
      <diagonal/>
    </border>
    <border>
      <left/>
      <right/>
      <top/>
      <bottom style="medium">
        <color rgb="FF000000"/>
      </bottom>
      <diagonal/>
    </border>
    <border>
      <left style="medium">
        <color indexed="8"/>
      </left>
      <right style="medium">
        <color indexed="8"/>
      </right>
      <top style="medium">
        <color indexed="8"/>
      </top>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style="medium">
        <color indexed="8"/>
      </right>
      <top style="double">
        <color indexed="9"/>
      </top>
      <bottom style="double">
        <color indexed="9"/>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style="double">
        <color indexed="9"/>
      </left>
      <right style="double">
        <color indexed="9"/>
      </right>
      <top style="double">
        <color indexed="9"/>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medium">
        <color indexed="8"/>
      </left>
      <right style="medium">
        <color indexed="8"/>
      </right>
      <top style="thin">
        <color indexed="8"/>
      </top>
      <bottom/>
      <diagonal/>
    </border>
    <border>
      <left style="medium">
        <color indexed="9"/>
      </left>
      <right style="medium">
        <color indexed="9"/>
      </right>
      <top style="medium">
        <color indexed="9"/>
      </top>
      <bottom style="medium">
        <color indexed="9"/>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auto="1"/>
      </left>
      <right style="medium">
        <color auto="1"/>
      </right>
      <top style="medium">
        <color auto="1"/>
      </top>
      <bottom/>
      <diagonal/>
    </border>
    <border>
      <left style="medium">
        <color rgb="FF000000"/>
      </left>
      <right style="medium">
        <color rgb="FF000000"/>
      </right>
      <top style="medium">
        <color rgb="FF000000"/>
      </top>
      <bottom/>
      <diagonal/>
    </border>
    <border>
      <left style="medium">
        <color rgb="FF000000"/>
      </left>
      <right style="medium">
        <color auto="1"/>
      </right>
      <top/>
      <bottom/>
      <diagonal/>
    </border>
    <border>
      <left style="medium">
        <color auto="1"/>
      </left>
      <right style="medium">
        <color auto="1"/>
      </right>
      <top/>
      <bottom/>
      <diagonal/>
    </border>
    <border>
      <left style="medium">
        <color rgb="FF000000"/>
      </left>
      <right style="medium">
        <color auto="1"/>
      </right>
      <top/>
      <bottom style="medium">
        <color rgb="FF000000"/>
      </bottom>
      <diagonal/>
    </border>
    <border>
      <left style="medium">
        <color rgb="FF000000"/>
      </left>
      <right style="medium">
        <color auto="1"/>
      </right>
      <top style="medium">
        <color rgb="FF000000"/>
      </top>
      <bottom/>
      <diagonal/>
    </border>
    <border>
      <left style="medium">
        <color rgb="FF000000"/>
      </left>
      <right style="medium">
        <color auto="1"/>
      </right>
      <top style="medium">
        <color auto="1"/>
      </top>
      <bottom/>
      <diagonal/>
    </border>
    <border>
      <left style="medium">
        <color rgb="FF000000"/>
      </left>
      <right style="medium">
        <color auto="1"/>
      </right>
      <top/>
      <bottom style="medium">
        <color auto="1"/>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auto="1"/>
      </left>
      <right style="medium">
        <color rgb="FF000000"/>
      </right>
      <top style="medium">
        <color auto="1"/>
      </top>
      <bottom style="medium">
        <color auto="1"/>
      </bottom>
      <diagonal/>
    </border>
    <border>
      <left style="medium">
        <color auto="1"/>
      </left>
      <right/>
      <top style="medium">
        <color auto="1"/>
      </top>
      <bottom/>
      <diagonal/>
    </border>
    <border>
      <left style="medium">
        <color rgb="FF000000"/>
      </left>
      <right style="medium">
        <color rgb="FF000000"/>
      </right>
      <top style="medium">
        <color auto="1"/>
      </top>
      <bottom style="medium">
        <color rgb="FF000000"/>
      </bottom>
      <diagonal/>
    </border>
    <border>
      <left style="medium">
        <color auto="1"/>
      </left>
      <right style="medium">
        <color auto="1"/>
      </right>
      <top style="medium">
        <color auto="1"/>
      </top>
      <bottom style="medium">
        <color rgb="FF000000"/>
      </bottom>
      <diagonal/>
    </border>
    <border>
      <left style="medium">
        <color indexed="8"/>
      </left>
      <right style="medium">
        <color auto="1"/>
      </right>
      <top style="double">
        <color indexed="9"/>
      </top>
      <bottom style="double">
        <color indexed="9"/>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rgb="FF000000"/>
      </right>
      <top/>
      <bottom style="medium">
        <color rgb="FF000000"/>
      </bottom>
      <diagonal/>
    </border>
    <border>
      <left style="medium">
        <color auto="1"/>
      </left>
      <right style="medium">
        <color rgb="FF000000"/>
      </right>
      <top/>
      <bottom style="medium">
        <color auto="1"/>
      </bottom>
      <diagonal/>
    </border>
    <border>
      <left/>
      <right/>
      <top style="medium">
        <color indexed="9"/>
      </top>
      <bottom/>
      <diagonal/>
    </border>
    <border>
      <left/>
      <right style="medium">
        <color indexed="9"/>
      </right>
      <top style="medium">
        <color indexed="9"/>
      </top>
      <bottom/>
      <diagonal/>
    </border>
    <border>
      <left/>
      <right style="medium">
        <color indexed="9"/>
      </right>
      <top/>
      <bottom/>
      <diagonal/>
    </border>
    <border>
      <left/>
      <right/>
      <top/>
      <bottom style="medium">
        <color indexed="9"/>
      </bottom>
      <diagonal/>
    </border>
    <border>
      <left/>
      <right style="medium">
        <color indexed="9"/>
      </right>
      <top/>
      <bottom style="medium">
        <color indexed="9"/>
      </bottom>
      <diagonal/>
    </border>
    <border>
      <left/>
      <right/>
      <top/>
      <bottom style="medium">
        <color indexed="8"/>
      </bottom>
      <diagonal/>
    </border>
    <border>
      <left/>
      <right style="medium">
        <color indexed="9"/>
      </right>
      <top/>
      <bottom style="medium">
        <color indexed="8"/>
      </bottom>
      <diagonal/>
    </border>
    <border>
      <left style="medium">
        <color indexed="9"/>
      </left>
      <right/>
      <top style="medium">
        <color indexed="9"/>
      </top>
      <bottom/>
      <diagonal/>
    </border>
    <border>
      <left/>
      <right style="medium">
        <color indexed="8"/>
      </right>
      <top style="medium">
        <color indexed="9"/>
      </top>
      <bottom/>
      <diagonal/>
    </border>
    <border>
      <left style="medium">
        <color indexed="9"/>
      </left>
      <right/>
      <top/>
      <bottom/>
      <diagonal/>
    </border>
    <border>
      <left/>
      <right style="medium">
        <color indexed="8"/>
      </right>
      <top/>
      <bottom/>
      <diagonal/>
    </border>
    <border>
      <left style="medium">
        <color indexed="9"/>
      </left>
      <right/>
      <top/>
      <bottom style="medium">
        <color indexed="8"/>
      </bottom>
      <diagonal/>
    </border>
    <border>
      <left/>
      <right style="medium">
        <color indexed="8"/>
      </right>
      <top/>
      <bottom style="medium">
        <color indexed="8"/>
      </bottom>
      <diagonal/>
    </border>
    <border>
      <left style="medium">
        <color rgb="FF000000"/>
      </left>
      <right style="medium">
        <color auto="1"/>
      </right>
      <top style="medium">
        <color rgb="FF000000"/>
      </top>
      <bottom style="medium">
        <color rgb="FF000000"/>
      </bottom>
      <diagonal/>
    </border>
    <border>
      <left style="medium">
        <color rgb="FF000000"/>
      </left>
      <right style="medium">
        <color indexed="8"/>
      </right>
      <top style="medium">
        <color rgb="FF000000"/>
      </top>
      <bottom/>
      <diagonal/>
    </border>
    <border>
      <left style="medium">
        <color indexed="8"/>
      </left>
      <right style="medium">
        <color indexed="8"/>
      </right>
      <top style="medium">
        <color rgb="FF000000"/>
      </top>
      <bottom/>
      <diagonal/>
    </border>
    <border>
      <left style="medium">
        <color rgb="FF000000"/>
      </left>
      <right style="medium">
        <color indexed="8"/>
      </right>
      <top style="medium">
        <color indexed="8"/>
      </top>
      <bottom/>
      <diagonal/>
    </border>
    <border>
      <left style="medium">
        <color rgb="FF000000"/>
      </left>
      <right style="medium">
        <color indexed="8"/>
      </right>
      <top style="double">
        <color indexed="9"/>
      </top>
      <bottom style="double">
        <color indexed="9"/>
      </bottom>
      <diagonal/>
    </border>
    <border>
      <left style="medium">
        <color rgb="FF000000"/>
      </left>
      <right style="double">
        <color indexed="9"/>
      </right>
      <top style="double">
        <color indexed="9"/>
      </top>
      <bottom style="double">
        <color indexed="9"/>
      </bottom>
      <diagonal/>
    </border>
    <border>
      <left style="medium">
        <color rgb="FF000000"/>
      </left>
      <right style="double">
        <color indexed="9"/>
      </right>
      <top style="double">
        <color indexed="9"/>
      </top>
      <bottom style="thin">
        <color indexed="8"/>
      </bottom>
      <diagonal/>
    </border>
    <border>
      <left style="medium">
        <color rgb="FF000000"/>
      </left>
      <right style="medium">
        <color indexed="8"/>
      </right>
      <top style="thin">
        <color indexed="8"/>
      </top>
      <bottom/>
      <diagonal/>
    </border>
    <border>
      <left style="medium">
        <color rgb="FF000000"/>
      </left>
      <right/>
      <top style="medium">
        <color indexed="9"/>
      </top>
      <bottom/>
      <diagonal/>
    </border>
    <border>
      <left style="medium">
        <color rgb="FF000000"/>
      </left>
      <right/>
      <top/>
      <bottom/>
      <diagonal/>
    </border>
    <border>
      <left style="medium">
        <color rgb="FF000000"/>
      </left>
      <right/>
      <top/>
      <bottom style="medium">
        <color indexed="9"/>
      </bottom>
      <diagonal/>
    </border>
    <border>
      <left style="medium">
        <color rgb="FF000000"/>
      </left>
      <right/>
      <top/>
      <bottom style="medium">
        <color indexed="8"/>
      </bottom>
      <diagonal/>
    </border>
    <border>
      <left style="medium">
        <color rgb="FF000000"/>
      </left>
      <right style="medium">
        <color indexed="8"/>
      </right>
      <top style="medium">
        <color indexed="8"/>
      </top>
      <bottom style="medium">
        <color indexed="8"/>
      </bottom>
      <diagonal/>
    </border>
  </borders>
  <cellStyleXfs count="54">
    <xf numFmtId="0" fontId="0" fillId="0" borderId="0"/>
    <xf numFmtId="0" fontId="2" fillId="0" borderId="0"/>
    <xf numFmtId="0" fontId="2" fillId="0" borderId="0"/>
    <xf numFmtId="164" fontId="2" fillId="0" borderId="0"/>
    <xf numFmtId="0" fontId="6" fillId="0" borderId="0"/>
    <xf numFmtId="0" fontId="6" fillId="0" borderId="0"/>
    <xf numFmtId="0" fontId="7" fillId="0" borderId="0"/>
    <xf numFmtId="164" fontId="11" fillId="0" borderId="0" applyBorder="0" applyProtection="0"/>
    <xf numFmtId="165" fontId="19" fillId="0" borderId="0" applyBorder="0" applyProtection="0"/>
    <xf numFmtId="166" fontId="20" fillId="0" borderId="0" applyBorder="0" applyProtection="0"/>
    <xf numFmtId="166" fontId="20" fillId="0" borderId="0" applyBorder="0" applyProtection="0"/>
    <xf numFmtId="166" fontId="20" fillId="0" borderId="0" applyBorder="0" applyProtection="0"/>
    <xf numFmtId="0" fontId="21" fillId="0" borderId="0" applyNumberFormat="0" applyBorder="0" applyProtection="0">
      <alignment horizontal="center"/>
    </xf>
    <xf numFmtId="0" fontId="22" fillId="0" borderId="0" applyBorder="0" applyProtection="0">
      <alignment horizontal="center"/>
    </xf>
    <xf numFmtId="0" fontId="21" fillId="0" borderId="0" applyNumberFormat="0" applyBorder="0" applyProtection="0">
      <alignment horizontal="center" textRotation="90"/>
    </xf>
    <xf numFmtId="166" fontId="23" fillId="0" borderId="0" applyBorder="0" applyProtection="0"/>
    <xf numFmtId="0" fontId="6" fillId="0" borderId="0"/>
    <xf numFmtId="166" fontId="23" fillId="0" borderId="0" applyBorder="0" applyProtection="0"/>
    <xf numFmtId="166" fontId="23" fillId="0" borderId="0" applyBorder="0" applyProtection="0"/>
    <xf numFmtId="166" fontId="23" fillId="0" borderId="0" applyBorder="0" applyProtection="0"/>
    <xf numFmtId="0" fontId="24" fillId="0" borderId="0"/>
    <xf numFmtId="0" fontId="1" fillId="0" borderId="0"/>
    <xf numFmtId="0" fontId="1" fillId="0" borderId="0"/>
    <xf numFmtId="0" fontId="1" fillId="0" borderId="0"/>
    <xf numFmtId="0" fontId="2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6" fillId="0" borderId="0" applyNumberFormat="0" applyBorder="0" applyProtection="0"/>
    <xf numFmtId="0" fontId="27" fillId="0" borderId="0" applyBorder="0" applyProtection="0"/>
    <xf numFmtId="167" fontId="26" fillId="0" borderId="0" applyBorder="0" applyProtection="0"/>
    <xf numFmtId="168" fontId="27" fillId="0" borderId="0" applyBorder="0" applyProtection="0"/>
    <xf numFmtId="9" fontId="1" fillId="0" borderId="0" applyFont="0" applyFill="0" applyBorder="0" applyAlignment="0" applyProtection="0"/>
    <xf numFmtId="165" fontId="23" fillId="0" borderId="0" applyBorder="0" applyProtection="0"/>
    <xf numFmtId="164" fontId="11" fillId="0" borderId="0" applyBorder="0" applyProtection="0"/>
    <xf numFmtId="165" fontId="20" fillId="0" borderId="0" applyBorder="0" applyProtection="0"/>
    <xf numFmtId="165" fontId="20" fillId="0" borderId="0" applyBorder="0" applyProtection="0"/>
    <xf numFmtId="166" fontId="20" fillId="0" borderId="0" applyBorder="0" applyProtection="0"/>
    <xf numFmtId="0" fontId="22" fillId="0" borderId="0" applyBorder="0" applyProtection="0">
      <alignment horizontal="center"/>
    </xf>
    <xf numFmtId="165" fontId="23" fillId="0" borderId="0" applyBorder="0" applyProtection="0"/>
    <xf numFmtId="166" fontId="23" fillId="0" borderId="0" applyBorder="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Border="0" applyProtection="0"/>
    <xf numFmtId="167" fontId="24" fillId="0" borderId="0" applyBorder="0" applyProtection="0"/>
    <xf numFmtId="0" fontId="27" fillId="0" borderId="0" applyBorder="0" applyProtection="0"/>
  </cellStyleXfs>
  <cellXfs count="337">
    <xf numFmtId="0" fontId="0" fillId="0" borderId="0" xfId="0"/>
    <xf numFmtId="0" fontId="3" fillId="0" borderId="0" xfId="1" applyFont="1"/>
    <xf numFmtId="0" fontId="2" fillId="0" borderId="0" xfId="1"/>
    <xf numFmtId="0" fontId="4" fillId="0" borderId="0" xfId="1" applyFont="1" applyAlignment="1">
      <alignment vertical="center"/>
    </xf>
    <xf numFmtId="0" fontId="8" fillId="0" borderId="0" xfId="2" applyFont="1" applyAlignment="1">
      <alignment vertical="center"/>
    </xf>
    <xf numFmtId="0" fontId="2" fillId="0" borderId="0" xfId="2"/>
    <xf numFmtId="0" fontId="2" fillId="0" borderId="0" xfId="2" applyAlignment="1">
      <alignment horizontal="center" vertical="center"/>
    </xf>
    <xf numFmtId="0" fontId="15" fillId="0" borderId="19" xfId="2" applyFont="1" applyBorder="1" applyAlignment="1">
      <alignment vertical="top" wrapText="1"/>
    </xf>
    <xf numFmtId="0" fontId="15" fillId="0" borderId="20" xfId="2" applyFont="1" applyBorder="1" applyAlignment="1">
      <alignment vertical="top" wrapText="1"/>
    </xf>
    <xf numFmtId="0" fontId="32" fillId="0" borderId="0" xfId="0" applyFont="1" applyAlignment="1">
      <alignment vertical="center"/>
    </xf>
    <xf numFmtId="0" fontId="0" fillId="0" borderId="0" xfId="0" applyAlignment="1">
      <alignment vertical="center"/>
    </xf>
    <xf numFmtId="0" fontId="33" fillId="0" borderId="0" xfId="0" applyFont="1" applyAlignment="1">
      <alignment vertical="center"/>
    </xf>
    <xf numFmtId="0" fontId="0" fillId="4" borderId="0" xfId="0" applyFill="1" applyAlignment="1">
      <alignment vertical="center"/>
    </xf>
    <xf numFmtId="9" fontId="36" fillId="5" borderId="35" xfId="32" applyFont="1" applyFill="1" applyBorder="1" applyAlignment="1">
      <alignment horizontal="center" vertical="center" wrapText="1"/>
    </xf>
    <xf numFmtId="0" fontId="6" fillId="4" borderId="0" xfId="4" applyFill="1" applyAlignment="1">
      <alignment vertical="center"/>
    </xf>
    <xf numFmtId="0" fontId="6" fillId="0" borderId="0" xfId="4" applyAlignment="1">
      <alignment vertical="center"/>
    </xf>
    <xf numFmtId="0" fontId="6" fillId="0" borderId="0" xfId="4" applyAlignment="1">
      <alignment horizontal="left" vertical="center" wrapText="1"/>
    </xf>
    <xf numFmtId="0" fontId="30" fillId="7" borderId="34" xfId="4" applyFont="1" applyFill="1" applyBorder="1" applyAlignment="1">
      <alignment horizontal="center" vertical="center" wrapText="1"/>
    </xf>
    <xf numFmtId="0" fontId="30" fillId="8" borderId="34" xfId="4" applyFont="1" applyFill="1" applyBorder="1" applyAlignment="1">
      <alignment horizontal="center" vertical="center" wrapText="1"/>
    </xf>
    <xf numFmtId="165" fontId="37" fillId="0" borderId="39" xfId="4" applyNumberFormat="1" applyFont="1" applyFill="1" applyBorder="1" applyAlignment="1" applyProtection="1">
      <alignment horizontal="center" vertical="center" wrapText="1"/>
    </xf>
    <xf numFmtId="3" fontId="38" fillId="0" borderId="40" xfId="0" applyNumberFormat="1" applyFont="1" applyBorder="1" applyAlignment="1" applyProtection="1">
      <alignment horizontal="center" vertical="center" wrapText="1"/>
    </xf>
    <xf numFmtId="165" fontId="39" fillId="0" borderId="39" xfId="4" applyNumberFormat="1" applyFont="1" applyFill="1" applyBorder="1" applyAlignment="1" applyProtection="1">
      <alignment horizontal="center" vertical="center" wrapText="1"/>
    </xf>
    <xf numFmtId="3" fontId="38" fillId="0" borderId="41" xfId="0" applyNumberFormat="1" applyFont="1" applyBorder="1" applyAlignment="1" applyProtection="1">
      <alignment horizontal="center" vertical="center" wrapText="1"/>
    </xf>
    <xf numFmtId="165" fontId="39" fillId="0" borderId="39" xfId="1" applyNumberFormat="1" applyFont="1" applyFill="1" applyBorder="1" applyAlignment="1" applyProtection="1">
      <alignment horizontal="center" vertical="center" wrapText="1"/>
    </xf>
    <xf numFmtId="3" fontId="38" fillId="0" borderId="34" xfId="0" applyNumberFormat="1" applyFont="1" applyBorder="1" applyAlignment="1" applyProtection="1">
      <alignment horizontal="center" vertical="center" wrapText="1"/>
    </xf>
    <xf numFmtId="3" fontId="40" fillId="0" borderId="34" xfId="0" applyNumberFormat="1" applyFont="1" applyBorder="1" applyAlignment="1" applyProtection="1">
      <alignment horizontal="center" vertical="center" wrapText="1"/>
    </xf>
    <xf numFmtId="165" fontId="37" fillId="0" borderId="39" xfId="1" applyNumberFormat="1" applyFont="1" applyFill="1" applyBorder="1" applyAlignment="1" applyProtection="1">
      <alignment horizontal="center" vertical="center" wrapText="1"/>
    </xf>
    <xf numFmtId="165" fontId="11" fillId="0" borderId="39" xfId="1" applyNumberFormat="1" applyFont="1" applyFill="1" applyBorder="1" applyAlignment="1" applyProtection="1">
      <alignment vertical="center"/>
    </xf>
    <xf numFmtId="0" fontId="0" fillId="0" borderId="0" xfId="0" applyFont="1" applyAlignment="1">
      <alignment vertical="center"/>
    </xf>
    <xf numFmtId="0" fontId="0" fillId="4" borderId="0" xfId="0" applyFont="1" applyFill="1" applyAlignment="1">
      <alignment vertical="center"/>
    </xf>
    <xf numFmtId="165" fontId="41" fillId="0" borderId="39" xfId="4" applyNumberFormat="1" applyFont="1" applyFill="1" applyBorder="1" applyAlignment="1" applyProtection="1">
      <alignment horizontal="center" vertical="center" wrapText="1"/>
    </xf>
    <xf numFmtId="3" fontId="35" fillId="0" borderId="40" xfId="0" applyNumberFormat="1" applyFont="1" applyBorder="1" applyAlignment="1" applyProtection="1">
      <alignment horizontal="center" vertical="center" wrapText="1"/>
    </xf>
    <xf numFmtId="165" fontId="42" fillId="0" borderId="39" xfId="4" applyNumberFormat="1" applyFont="1" applyFill="1" applyBorder="1" applyAlignment="1" applyProtection="1">
      <alignment horizontal="center" vertical="center" wrapText="1"/>
    </xf>
    <xf numFmtId="165" fontId="41" fillId="0" borderId="39" xfId="4" applyNumberFormat="1" applyFont="1" applyFill="1" applyBorder="1" applyAlignment="1" applyProtection="1">
      <alignment vertical="center" wrapText="1"/>
    </xf>
    <xf numFmtId="9" fontId="35" fillId="5" borderId="35" xfId="32" applyFont="1" applyFill="1" applyBorder="1" applyAlignment="1">
      <alignment horizontal="center" vertical="center" wrapText="1"/>
    </xf>
    <xf numFmtId="3" fontId="35" fillId="0" borderId="41" xfId="0" applyNumberFormat="1" applyFont="1" applyBorder="1" applyAlignment="1" applyProtection="1">
      <alignment horizontal="center" vertical="center" wrapText="1"/>
    </xf>
    <xf numFmtId="165" fontId="42" fillId="0" borderId="39" xfId="1" applyNumberFormat="1" applyFont="1" applyFill="1" applyBorder="1" applyAlignment="1" applyProtection="1">
      <alignment horizontal="center" vertical="center" wrapText="1"/>
    </xf>
    <xf numFmtId="3" fontId="35" fillId="0" borderId="34" xfId="0" applyNumberFormat="1" applyFont="1" applyBorder="1" applyAlignment="1" applyProtection="1">
      <alignment horizontal="center" vertical="center" wrapText="1"/>
    </xf>
    <xf numFmtId="3" fontId="30" fillId="0" borderId="34" xfId="0" applyNumberFormat="1" applyFont="1" applyBorder="1" applyAlignment="1" applyProtection="1">
      <alignment horizontal="center" vertical="center" wrapText="1"/>
    </xf>
    <xf numFmtId="165" fontId="41" fillId="0" borderId="39" xfId="1" applyNumberFormat="1" applyFont="1" applyFill="1" applyBorder="1" applyAlignment="1" applyProtection="1">
      <alignment horizontal="center" vertical="center" wrapText="1"/>
    </xf>
    <xf numFmtId="0" fontId="43" fillId="4" borderId="0" xfId="4" applyFont="1" applyFill="1" applyAlignment="1">
      <alignment vertical="center"/>
    </xf>
    <xf numFmtId="0" fontId="43" fillId="0" borderId="0" xfId="4" applyFont="1" applyAlignment="1">
      <alignment vertical="center"/>
    </xf>
    <xf numFmtId="0" fontId="43" fillId="0" borderId="0" xfId="4" applyFont="1" applyAlignment="1">
      <alignment horizontal="left" vertical="center" wrapText="1"/>
    </xf>
    <xf numFmtId="165" fontId="41" fillId="0" borderId="39" xfId="1" applyNumberFormat="1" applyFont="1" applyFill="1" applyBorder="1" applyAlignment="1" applyProtection="1">
      <alignment horizontal="center" vertical="center"/>
    </xf>
    <xf numFmtId="165" fontId="41" fillId="0" borderId="39" xfId="1" applyNumberFormat="1" applyFont="1" applyFill="1" applyBorder="1" applyAlignment="1" applyProtection="1">
      <alignment vertical="center"/>
    </xf>
    <xf numFmtId="0" fontId="34" fillId="0" borderId="34" xfId="0" applyFont="1" applyBorder="1" applyAlignment="1" applyProtection="1">
      <alignment horizontal="center" vertical="center" wrapText="1"/>
    </xf>
    <xf numFmtId="0" fontId="32" fillId="0" borderId="34" xfId="0" applyFont="1" applyFill="1" applyBorder="1" applyAlignment="1" applyProtection="1">
      <alignment horizontal="center" vertical="center" wrapText="1"/>
    </xf>
    <xf numFmtId="0" fontId="32" fillId="0" borderId="34" xfId="4" applyNumberFormat="1" applyFont="1" applyFill="1" applyBorder="1" applyAlignment="1" applyProtection="1">
      <alignment horizontal="left" vertical="center" wrapText="1"/>
    </xf>
    <xf numFmtId="165" fontId="37" fillId="0" borderId="40" xfId="1" applyNumberFormat="1" applyFont="1" applyFill="1" applyBorder="1" applyAlignment="1" applyProtection="1">
      <alignment horizontal="center" vertical="center" wrapText="1"/>
    </xf>
    <xf numFmtId="0" fontId="34" fillId="0" borderId="34" xfId="0" applyFont="1" applyFill="1" applyBorder="1" applyAlignment="1" applyProtection="1">
      <alignment horizontal="center" vertical="center" wrapText="1"/>
    </xf>
    <xf numFmtId="0" fontId="34" fillId="0" borderId="34" xfId="4" applyNumberFormat="1" applyFont="1" applyFill="1" applyBorder="1" applyAlignment="1" applyProtection="1">
      <alignment horizontal="center" vertical="center" wrapText="1"/>
    </xf>
    <xf numFmtId="0" fontId="34" fillId="0" borderId="34" xfId="4" applyNumberFormat="1" applyFont="1" applyBorder="1" applyAlignment="1" applyProtection="1">
      <alignment horizontal="center" vertical="center" wrapText="1"/>
    </xf>
    <xf numFmtId="0" fontId="34" fillId="0" borderId="34" xfId="4" applyNumberFormat="1" applyFont="1" applyFill="1" applyBorder="1" applyAlignment="1" applyProtection="1">
      <alignment horizontal="left" vertical="center" wrapText="1"/>
    </xf>
    <xf numFmtId="0" fontId="32" fillId="0" borderId="34" xfId="4" quotePrefix="1" applyNumberFormat="1" applyFont="1" applyFill="1" applyBorder="1" applyAlignment="1" applyProtection="1">
      <alignment horizontal="center" vertical="center" wrapText="1"/>
    </xf>
    <xf numFmtId="0" fontId="32" fillId="0" borderId="34" xfId="4" quotePrefix="1" applyNumberFormat="1" applyFont="1" applyFill="1" applyBorder="1" applyAlignment="1" applyProtection="1">
      <alignment horizontal="left" vertical="center" wrapText="1"/>
    </xf>
    <xf numFmtId="0" fontId="32" fillId="0" borderId="34" xfId="4" applyNumberFormat="1" applyFont="1" applyBorder="1" applyAlignment="1" applyProtection="1">
      <alignment horizontal="center" vertical="center" wrapText="1"/>
    </xf>
    <xf numFmtId="0" fontId="32" fillId="0" borderId="34" xfId="4" quotePrefix="1" applyNumberFormat="1" applyFont="1" applyBorder="1" applyAlignment="1" applyProtection="1">
      <alignment horizontal="center" vertical="center" wrapText="1"/>
    </xf>
    <xf numFmtId="0" fontId="32" fillId="0" borderId="34" xfId="4" applyNumberFormat="1" applyFont="1" applyFill="1" applyBorder="1" applyAlignment="1" applyProtection="1">
      <alignment horizontal="center" vertical="center" wrapText="1"/>
    </xf>
    <xf numFmtId="0" fontId="34" fillId="0" borderId="34" xfId="4" quotePrefix="1" applyNumberFormat="1" applyFont="1" applyBorder="1" applyAlignment="1" applyProtection="1">
      <alignment horizontal="center" vertical="center" wrapText="1"/>
    </xf>
    <xf numFmtId="0" fontId="34" fillId="0" borderId="34" xfId="4" quotePrefix="1" applyNumberFormat="1" applyFont="1" applyFill="1" applyBorder="1" applyAlignment="1" applyProtection="1">
      <alignment horizontal="left" vertical="center" wrapText="1"/>
    </xf>
    <xf numFmtId="165" fontId="37" fillId="0" borderId="39" xfId="1" applyNumberFormat="1" applyFont="1" applyFill="1" applyBorder="1" applyAlignment="1" applyProtection="1">
      <alignment horizontal="left" vertical="center" wrapText="1"/>
    </xf>
    <xf numFmtId="165" fontId="44" fillId="0" borderId="39" xfId="1" applyNumberFormat="1" applyFont="1" applyFill="1" applyBorder="1" applyAlignment="1" applyProtection="1">
      <alignment horizontal="left" vertical="center" wrapText="1"/>
    </xf>
    <xf numFmtId="169" fontId="38" fillId="0" borderId="40" xfId="0" applyNumberFormat="1" applyFont="1" applyBorder="1" applyAlignment="1" applyProtection="1">
      <alignment horizontal="center" vertical="center" wrapText="1"/>
    </xf>
    <xf numFmtId="49" fontId="37" fillId="0" borderId="39" xfId="1" quotePrefix="1" applyNumberFormat="1" applyFont="1" applyFill="1" applyBorder="1" applyAlignment="1" applyProtection="1">
      <alignment horizontal="center" vertical="center" wrapText="1"/>
    </xf>
    <xf numFmtId="165" fontId="37" fillId="0" borderId="39" xfId="1" quotePrefix="1" applyNumberFormat="1" applyFont="1" applyFill="1" applyBorder="1" applyAlignment="1" applyProtection="1">
      <alignment horizontal="center" vertical="center" wrapText="1"/>
    </xf>
    <xf numFmtId="0" fontId="0" fillId="0" borderId="39" xfId="0" applyFill="1" applyBorder="1" applyProtection="1"/>
    <xf numFmtId="0" fontId="32" fillId="0" borderId="34" xfId="16" applyFont="1" applyBorder="1" applyAlignment="1" applyProtection="1">
      <alignment horizontal="center" vertical="center" wrapText="1"/>
    </xf>
    <xf numFmtId="0" fontId="35" fillId="0" borderId="34" xfId="4" applyFont="1" applyBorder="1" applyAlignment="1" applyProtection="1">
      <alignment horizontal="center" vertical="center" wrapText="1"/>
    </xf>
    <xf numFmtId="0" fontId="32" fillId="0" borderId="34" xfId="16" applyFont="1" applyFill="1" applyBorder="1" applyAlignment="1" applyProtection="1">
      <alignment horizontal="left" vertical="center" wrapText="1"/>
    </xf>
    <xf numFmtId="0" fontId="35" fillId="0" borderId="35" xfId="4" applyFont="1" applyBorder="1" applyAlignment="1" applyProtection="1">
      <alignment horizontal="center" vertical="center" wrapText="1"/>
    </xf>
    <xf numFmtId="0" fontId="32" fillId="4" borderId="34" xfId="16" applyFont="1" applyFill="1" applyBorder="1" applyAlignment="1" applyProtection="1">
      <alignment horizontal="center" vertical="center" wrapText="1"/>
    </xf>
    <xf numFmtId="0" fontId="36" fillId="0" borderId="35" xfId="4" applyFont="1" applyBorder="1" applyAlignment="1" applyProtection="1">
      <alignment horizontal="center" vertical="center" wrapText="1"/>
    </xf>
    <xf numFmtId="0" fontId="32" fillId="0" borderId="35" xfId="16" applyFont="1" applyBorder="1" applyAlignment="1" applyProtection="1">
      <alignment horizontal="center" vertical="center" wrapText="1"/>
    </xf>
    <xf numFmtId="0" fontId="32" fillId="4" borderId="35" xfId="16" applyFont="1" applyFill="1" applyBorder="1" applyAlignment="1" applyProtection="1">
      <alignment horizontal="center" vertical="center" wrapText="1"/>
    </xf>
    <xf numFmtId="0" fontId="32" fillId="0" borderId="35" xfId="16" applyFont="1" applyFill="1" applyBorder="1" applyAlignment="1" applyProtection="1">
      <alignment horizontal="left" vertical="center" wrapText="1"/>
    </xf>
    <xf numFmtId="0" fontId="32" fillId="0" borderId="34" xfId="16" quotePrefix="1" applyFont="1" applyFill="1" applyBorder="1" applyAlignment="1" applyProtection="1">
      <alignment horizontal="center" vertical="center" wrapText="1"/>
    </xf>
    <xf numFmtId="0" fontId="32" fillId="0" borderId="34" xfId="16" applyFont="1" applyFill="1" applyBorder="1" applyAlignment="1" applyProtection="1">
      <alignment horizontal="center" vertical="center" wrapText="1"/>
    </xf>
    <xf numFmtId="0" fontId="32" fillId="0" borderId="34" xfId="16" quotePrefix="1" applyFont="1" applyFill="1" applyBorder="1" applyAlignment="1" applyProtection="1">
      <alignment horizontal="left" vertical="center" wrapText="1"/>
    </xf>
    <xf numFmtId="0" fontId="32" fillId="0" borderId="34" xfId="16" quotePrefix="1" applyFont="1" applyBorder="1" applyAlignment="1" applyProtection="1">
      <alignment horizontal="center" vertical="center" wrapText="1"/>
    </xf>
    <xf numFmtId="0" fontId="32" fillId="0" borderId="35" xfId="16" quotePrefix="1" applyFont="1" applyBorder="1" applyAlignment="1" applyProtection="1">
      <alignment horizontal="center" vertical="center" wrapText="1"/>
    </xf>
    <xf numFmtId="165" fontId="37" fillId="0" borderId="39" xfId="4" applyNumberFormat="1" applyFont="1" applyFill="1" applyBorder="1" applyAlignment="1" applyProtection="1">
      <alignment horizontal="left" vertical="center" wrapText="1"/>
    </xf>
    <xf numFmtId="165" fontId="37" fillId="4" borderId="39" xfId="1" quotePrefix="1" applyNumberFormat="1" applyFont="1" applyFill="1" applyBorder="1" applyAlignment="1" applyProtection="1">
      <alignment horizontal="left" vertical="center" wrapText="1"/>
    </xf>
    <xf numFmtId="165" fontId="37" fillId="4" borderId="39" xfId="1" quotePrefix="1" applyNumberFormat="1" applyFont="1" applyFill="1" applyBorder="1" applyAlignment="1" applyProtection="1">
      <alignment vertical="center" wrapText="1"/>
    </xf>
    <xf numFmtId="165" fontId="37" fillId="0" borderId="39" xfId="4" quotePrefix="1" applyNumberFormat="1" applyFont="1" applyFill="1" applyBorder="1" applyAlignment="1" applyProtection="1">
      <alignment horizontal="left" vertical="center" wrapText="1"/>
    </xf>
    <xf numFmtId="165" fontId="37" fillId="0" borderId="39" xfId="4" quotePrefix="1" applyNumberFormat="1" applyFont="1" applyFill="1" applyBorder="1" applyAlignment="1" applyProtection="1">
      <alignment horizontal="center" vertical="center" wrapText="1"/>
    </xf>
    <xf numFmtId="165" fontId="37" fillId="0" borderId="39" xfId="1" applyNumberFormat="1" applyFont="1" applyFill="1" applyBorder="1" applyAlignment="1" applyProtection="1">
      <alignment horizontal="center" vertical="center"/>
    </xf>
    <xf numFmtId="165" fontId="37" fillId="0" borderId="34" xfId="15" applyNumberFormat="1" applyFont="1" applyFill="1" applyBorder="1" applyAlignment="1" applyProtection="1">
      <alignment horizontal="center" vertical="center" wrapText="1"/>
    </xf>
    <xf numFmtId="165" fontId="39" fillId="0" borderId="34" xfId="4" applyNumberFormat="1" applyFont="1" applyBorder="1" applyAlignment="1" applyProtection="1">
      <alignment horizontal="center" vertical="center" wrapText="1"/>
    </xf>
    <xf numFmtId="165" fontId="37" fillId="0" borderId="34" xfId="15" applyNumberFormat="1" applyFont="1" applyFill="1" applyBorder="1" applyAlignment="1" applyProtection="1">
      <alignment horizontal="left" vertical="center" wrapText="1"/>
    </xf>
    <xf numFmtId="165" fontId="37" fillId="0" borderId="34" xfId="15" quotePrefix="1" applyNumberFormat="1" applyFont="1" applyFill="1" applyBorder="1" applyAlignment="1" applyProtection="1">
      <alignment horizontal="center" vertical="center" wrapText="1"/>
    </xf>
    <xf numFmtId="165" fontId="37" fillId="0" borderId="50" xfId="4" quotePrefix="1" applyNumberFormat="1" applyFont="1" applyFill="1" applyBorder="1" applyAlignment="1" applyProtection="1">
      <alignment horizontal="left" vertical="center" wrapText="1"/>
    </xf>
    <xf numFmtId="165" fontId="37" fillId="0" borderId="50" xfId="1" quotePrefix="1" applyNumberFormat="1" applyFont="1" applyFill="1" applyBorder="1" applyAlignment="1" applyProtection="1">
      <alignment vertical="center" wrapText="1"/>
    </xf>
    <xf numFmtId="165" fontId="37" fillId="0" borderId="22" xfId="15" applyNumberFormat="1" applyFont="1" applyFill="1" applyBorder="1" applyAlignment="1" applyProtection="1">
      <alignment horizontal="left" vertical="center" wrapText="1"/>
    </xf>
    <xf numFmtId="165" fontId="37" fillId="0" borderId="34" xfId="4" applyNumberFormat="1" applyFont="1" applyFill="1" applyBorder="1" applyAlignment="1" applyProtection="1">
      <alignment horizontal="center" vertical="center" wrapText="1"/>
    </xf>
    <xf numFmtId="165" fontId="37" fillId="0" borderId="34" xfId="1" applyNumberFormat="1" applyFont="1" applyFill="1" applyBorder="1" applyAlignment="1" applyProtection="1">
      <alignment vertical="center"/>
    </xf>
    <xf numFmtId="165" fontId="45" fillId="0" borderId="34" xfId="15" applyNumberFormat="1" applyFont="1" applyFill="1" applyBorder="1" applyAlignment="1" applyProtection="1">
      <alignment horizontal="center" vertical="center" wrapText="1"/>
    </xf>
    <xf numFmtId="165" fontId="37" fillId="0" borderId="51" xfId="4" applyNumberFormat="1" applyFont="1" applyFill="1" applyBorder="1" applyAlignment="1" applyProtection="1">
      <alignment horizontal="center" vertical="center" wrapText="1"/>
    </xf>
    <xf numFmtId="165" fontId="37" fillId="9" borderId="39" xfId="1" applyNumberFormat="1" applyFont="1" applyFill="1" applyBorder="1" applyAlignment="1" applyProtection="1">
      <alignment horizontal="center" vertical="center" wrapText="1"/>
    </xf>
    <xf numFmtId="165" fontId="37" fillId="0" borderId="39" xfId="1" quotePrefix="1" applyNumberFormat="1" applyFont="1" applyFill="1" applyBorder="1" applyAlignment="1" applyProtection="1">
      <alignment horizontal="left" vertical="center" wrapText="1"/>
    </xf>
    <xf numFmtId="165" fontId="44" fillId="0" borderId="39" xfId="4" quotePrefix="1" applyNumberFormat="1" applyFont="1" applyFill="1" applyBorder="1" applyAlignment="1" applyProtection="1">
      <alignment horizontal="center" vertical="center" wrapText="1"/>
    </xf>
    <xf numFmtId="165" fontId="37" fillId="0" borderId="39" xfId="1" applyNumberFormat="1" applyFont="1" applyFill="1" applyBorder="1" applyAlignment="1" applyProtection="1">
      <alignment vertical="center" wrapText="1"/>
    </xf>
    <xf numFmtId="165" fontId="37" fillId="10" borderId="34" xfId="33" applyNumberFormat="1" applyFont="1" applyFill="1" applyBorder="1" applyAlignment="1" applyProtection="1">
      <alignment horizontal="center" vertical="center" wrapText="1"/>
    </xf>
    <xf numFmtId="165" fontId="37" fillId="0" borderId="34" xfId="33" applyNumberFormat="1" applyFont="1" applyBorder="1" applyAlignment="1" applyProtection="1">
      <alignment horizontal="center" vertical="center" wrapText="1"/>
    </xf>
    <xf numFmtId="165" fontId="37" fillId="0" borderId="34" xfId="33" applyNumberFormat="1" applyFont="1" applyBorder="1" applyAlignment="1" applyProtection="1">
      <alignment horizontal="left" vertical="center" wrapText="1"/>
    </xf>
    <xf numFmtId="165" fontId="37" fillId="10" borderId="42" xfId="33" applyNumberFormat="1" applyFont="1" applyFill="1" applyBorder="1" applyAlignment="1" applyProtection="1">
      <alignment horizontal="center" vertical="center" wrapText="1"/>
    </xf>
    <xf numFmtId="170" fontId="37" fillId="0" borderId="34" xfId="33" applyNumberFormat="1" applyFont="1" applyBorder="1" applyAlignment="1" applyProtection="1">
      <alignment horizontal="center" vertical="center" wrapText="1"/>
    </xf>
    <xf numFmtId="165" fontId="37" fillId="10" borderId="31" xfId="33" applyNumberFormat="1" applyFont="1" applyFill="1" applyBorder="1" applyAlignment="1" applyProtection="1">
      <alignment horizontal="center" vertical="center" wrapText="1"/>
    </xf>
    <xf numFmtId="165" fontId="37" fillId="10" borderId="35" xfId="33" applyNumberFormat="1" applyFont="1" applyFill="1" applyBorder="1" applyAlignment="1" applyProtection="1">
      <alignment horizontal="center" vertical="center" wrapText="1"/>
    </xf>
    <xf numFmtId="165" fontId="37" fillId="10" borderId="34" xfId="33" applyNumberFormat="1" applyFont="1" applyFill="1" applyBorder="1" applyAlignment="1" applyProtection="1">
      <alignment horizontal="left" vertical="center" wrapText="1"/>
    </xf>
    <xf numFmtId="165" fontId="37" fillId="0" borderId="34" xfId="33" applyNumberFormat="1" applyFont="1" applyFill="1" applyBorder="1" applyAlignment="1" applyProtection="1">
      <alignment horizontal="left" vertical="center" wrapText="1"/>
    </xf>
    <xf numFmtId="165" fontId="37" fillId="10" borderId="42" xfId="33" applyNumberFormat="1" applyFont="1" applyFill="1" applyBorder="1" applyAlignment="1" applyProtection="1">
      <alignment horizontal="left" vertical="center" wrapText="1"/>
    </xf>
    <xf numFmtId="165" fontId="45" fillId="0" borderId="34" xfId="33" applyNumberFormat="1" applyFont="1" applyBorder="1" applyAlignment="1" applyProtection="1">
      <alignment horizontal="center" vertical="center" wrapText="1"/>
    </xf>
    <xf numFmtId="165" fontId="37" fillId="0" borderId="34" xfId="33" quotePrefix="1" applyNumberFormat="1" applyFont="1" applyBorder="1" applyAlignment="1" applyProtection="1">
      <alignment horizontal="center" vertical="center" wrapText="1"/>
    </xf>
    <xf numFmtId="165" fontId="37" fillId="0" borderId="34" xfId="11" applyNumberFormat="1" applyFont="1" applyBorder="1" applyAlignment="1" applyProtection="1">
      <alignment horizontal="center" vertical="center" wrapText="1"/>
    </xf>
    <xf numFmtId="165" fontId="37" fillId="0" borderId="34" xfId="11" applyNumberFormat="1" applyFont="1" applyFill="1" applyBorder="1" applyAlignment="1" applyProtection="1">
      <alignment horizontal="center" vertical="center" wrapText="1"/>
    </xf>
    <xf numFmtId="165" fontId="37" fillId="10" borderId="34" xfId="11" applyNumberFormat="1" applyFont="1" applyFill="1" applyBorder="1" applyAlignment="1" applyProtection="1">
      <alignment horizontal="center" vertical="center" wrapText="1"/>
    </xf>
    <xf numFmtId="165" fontId="37" fillId="0" borderId="34" xfId="11" applyNumberFormat="1" applyFont="1" applyBorder="1" applyAlignment="1" applyProtection="1">
      <alignment horizontal="left" vertical="center" wrapText="1"/>
    </xf>
    <xf numFmtId="165" fontId="37" fillId="0" borderId="34" xfId="19" applyNumberFormat="1" applyFont="1" applyBorder="1" applyAlignment="1" applyProtection="1">
      <alignment horizontal="center" vertical="center" wrapText="1"/>
    </xf>
    <xf numFmtId="0" fontId="37" fillId="0" borderId="34" xfId="11" applyNumberFormat="1" applyFont="1" applyBorder="1" applyAlignment="1" applyProtection="1">
      <alignment horizontal="center" vertical="center" wrapText="1"/>
    </xf>
    <xf numFmtId="165" fontId="37" fillId="0" borderId="34" xfId="19" applyNumberFormat="1" applyFont="1" applyBorder="1" applyAlignment="1" applyProtection="1">
      <alignment horizontal="left" vertical="center" wrapText="1"/>
    </xf>
    <xf numFmtId="165" fontId="45" fillId="0" borderId="34" xfId="19" applyNumberFormat="1" applyFont="1" applyBorder="1" applyAlignment="1" applyProtection="1">
      <alignment horizontal="center" vertical="center" wrapText="1"/>
    </xf>
    <xf numFmtId="0" fontId="32" fillId="0" borderId="42" xfId="16" applyFont="1" applyFill="1" applyBorder="1" applyAlignment="1" applyProtection="1">
      <alignment horizontal="center" vertical="center" wrapText="1"/>
    </xf>
    <xf numFmtId="0" fontId="35" fillId="0" borderId="42" xfId="4" applyFont="1" applyFill="1" applyBorder="1" applyAlignment="1" applyProtection="1">
      <alignment horizontal="center" vertical="center" wrapText="1"/>
    </xf>
    <xf numFmtId="0" fontId="32" fillId="0" borderId="42" xfId="16" applyFont="1" applyFill="1" applyBorder="1" applyAlignment="1" applyProtection="1">
      <alignment horizontal="left" vertical="center" wrapText="1"/>
    </xf>
    <xf numFmtId="0" fontId="41" fillId="0" borderId="42" xfId="24" applyFont="1" applyFill="1" applyBorder="1" applyAlignment="1" applyProtection="1">
      <alignment horizontal="center" vertical="center" wrapText="1"/>
    </xf>
    <xf numFmtId="0" fontId="35" fillId="0" borderId="34" xfId="4" applyFont="1" applyFill="1" applyBorder="1" applyAlignment="1" applyProtection="1">
      <alignment horizontal="center" vertical="center" wrapText="1"/>
    </xf>
    <xf numFmtId="0" fontId="32" fillId="0" borderId="42" xfId="24" applyFont="1" applyFill="1" applyBorder="1" applyAlignment="1" applyProtection="1">
      <alignment horizontal="center" vertical="center" wrapText="1"/>
    </xf>
    <xf numFmtId="0" fontId="32" fillId="0" borderId="42" xfId="24" applyFont="1" applyFill="1" applyBorder="1" applyAlignment="1" applyProtection="1">
      <alignment horizontal="left" vertical="center" wrapText="1"/>
    </xf>
    <xf numFmtId="0" fontId="32" fillId="0" borderId="34" xfId="23" applyFont="1" applyFill="1" applyBorder="1" applyAlignment="1" applyProtection="1">
      <alignment horizontal="center" vertical="center" wrapText="1"/>
    </xf>
    <xf numFmtId="0" fontId="32" fillId="0" borderId="34" xfId="24" applyFont="1" applyFill="1" applyBorder="1" applyAlignment="1" applyProtection="1">
      <alignment horizontal="center" vertical="center" wrapText="1"/>
    </xf>
    <xf numFmtId="0" fontId="32" fillId="0" borderId="34" xfId="23" applyFont="1" applyFill="1" applyBorder="1" applyAlignment="1" applyProtection="1">
      <alignment horizontal="left" vertical="center" wrapText="1"/>
    </xf>
    <xf numFmtId="0" fontId="32" fillId="0" borderId="42" xfId="16" quotePrefix="1" applyFont="1" applyFill="1" applyBorder="1" applyAlignment="1" applyProtection="1">
      <alignment horizontal="center" vertical="center" wrapText="1"/>
    </xf>
    <xf numFmtId="0" fontId="32" fillId="0" borderId="53" xfId="16" applyFont="1" applyFill="1" applyBorder="1" applyAlignment="1" applyProtection="1">
      <alignment horizontal="left" vertical="center" wrapText="1"/>
    </xf>
    <xf numFmtId="0" fontId="32" fillId="0" borderId="22" xfId="16" applyFont="1" applyFill="1" applyBorder="1" applyAlignment="1" applyProtection="1">
      <alignment horizontal="left" vertical="center" wrapText="1"/>
    </xf>
    <xf numFmtId="0" fontId="32" fillId="0" borderId="53" xfId="24" applyFont="1" applyFill="1" applyBorder="1" applyAlignment="1" applyProtection="1">
      <alignment horizontal="left" vertical="center" wrapText="1"/>
    </xf>
    <xf numFmtId="0" fontId="32" fillId="0" borderId="34" xfId="23" quotePrefix="1" applyFont="1" applyFill="1" applyBorder="1" applyAlignment="1" applyProtection="1">
      <alignment horizontal="center" vertical="center" wrapText="1"/>
    </xf>
    <xf numFmtId="0" fontId="32" fillId="0" borderId="22" xfId="23" applyFont="1" applyFill="1" applyBorder="1" applyAlignment="1" applyProtection="1">
      <alignment horizontal="left" vertical="center" wrapText="1"/>
    </xf>
    <xf numFmtId="0" fontId="32" fillId="0" borderId="34" xfId="23" applyFont="1" applyFill="1" applyBorder="1" applyAlignment="1" applyProtection="1">
      <alignment vertical="center"/>
    </xf>
    <xf numFmtId="0" fontId="32" fillId="0" borderId="34" xfId="23" applyFont="1" applyFill="1" applyBorder="1" applyAlignment="1" applyProtection="1">
      <alignment horizontal="center" vertical="center"/>
    </xf>
    <xf numFmtId="0" fontId="41" fillId="0" borderId="54" xfId="24" applyFont="1" applyFill="1" applyBorder="1" applyAlignment="1" applyProtection="1">
      <alignment horizontal="center" vertical="center" wrapText="1"/>
    </xf>
    <xf numFmtId="165" fontId="37" fillId="0" borderId="51" xfId="1" quotePrefix="1" applyNumberFormat="1" applyFont="1" applyFill="1" applyBorder="1" applyAlignment="1" applyProtection="1">
      <alignment horizontal="center" vertical="center" wrapText="1"/>
    </xf>
    <xf numFmtId="165" fontId="37" fillId="0" borderId="50" xfId="1" applyNumberFormat="1" applyFont="1" applyFill="1" applyBorder="1" applyAlignment="1" applyProtection="1">
      <alignment horizontal="left" vertical="center" wrapText="1"/>
    </xf>
    <xf numFmtId="165" fontId="37" fillId="0" borderId="55" xfId="1" applyNumberFormat="1" applyFont="1" applyFill="1" applyBorder="1" applyAlignment="1" applyProtection="1">
      <alignment horizontal="center" vertical="center" wrapText="1"/>
    </xf>
    <xf numFmtId="165" fontId="37" fillId="4" borderId="39" xfId="4" applyNumberFormat="1" applyFont="1" applyFill="1" applyBorder="1" applyAlignment="1" applyProtection="1">
      <alignment horizontal="left" vertical="center" wrapText="1"/>
    </xf>
    <xf numFmtId="0" fontId="41" fillId="0" borderId="34" xfId="23" applyFont="1" applyBorder="1" applyAlignment="1" applyProtection="1">
      <alignment horizontal="center" vertical="center" wrapText="1"/>
    </xf>
    <xf numFmtId="0" fontId="41" fillId="0" borderId="34" xfId="23" applyFont="1" applyFill="1" applyBorder="1" applyAlignment="1" applyProtection="1">
      <alignment horizontal="center" vertical="center" wrapText="1"/>
    </xf>
    <xf numFmtId="0" fontId="41" fillId="0" borderId="34" xfId="23" applyFont="1" applyFill="1" applyBorder="1" applyAlignment="1" applyProtection="1">
      <alignment horizontal="left" vertical="center" wrapText="1"/>
    </xf>
    <xf numFmtId="0" fontId="37" fillId="0" borderId="34" xfId="16" applyFont="1" applyBorder="1" applyAlignment="1" applyProtection="1">
      <alignment horizontal="left" vertical="center" wrapText="1"/>
    </xf>
    <xf numFmtId="0" fontId="37" fillId="0" borderId="34" xfId="16" applyFont="1" applyFill="1" applyBorder="1" applyAlignment="1" applyProtection="1">
      <alignment horizontal="left" vertical="center" wrapText="1"/>
    </xf>
    <xf numFmtId="0" fontId="37" fillId="0" borderId="34" xfId="23" applyFont="1" applyFill="1" applyBorder="1" applyAlignment="1" applyProtection="1">
      <alignment horizontal="left" vertical="center" wrapText="1"/>
    </xf>
    <xf numFmtId="0" fontId="41" fillId="0" borderId="34" xfId="23" applyFont="1" applyFill="1" applyBorder="1" applyAlignment="1" applyProtection="1">
      <alignment wrapText="1"/>
    </xf>
    <xf numFmtId="169" fontId="36" fillId="11" borderId="35" xfId="4" applyNumberFormat="1" applyFont="1" applyFill="1" applyBorder="1" applyAlignment="1">
      <alignment horizontal="center" vertical="center" wrapText="1"/>
    </xf>
    <xf numFmtId="169" fontId="36" fillId="5" borderId="35" xfId="4" applyNumberFormat="1" applyFont="1" applyFill="1" applyBorder="1" applyAlignment="1">
      <alignment horizontal="center" vertical="center" wrapText="1"/>
    </xf>
    <xf numFmtId="3" fontId="35" fillId="11" borderId="35" xfId="4" applyNumberFormat="1" applyFont="1" applyFill="1" applyBorder="1" applyAlignment="1">
      <alignment horizontal="center" vertical="center" wrapText="1"/>
    </xf>
    <xf numFmtId="3" fontId="35" fillId="5" borderId="35" xfId="4" applyNumberFormat="1" applyFont="1" applyFill="1" applyBorder="1" applyAlignment="1">
      <alignment horizontal="center" vertical="center" wrapText="1"/>
    </xf>
    <xf numFmtId="3" fontId="36" fillId="11" borderId="35" xfId="4" applyNumberFormat="1" applyFont="1" applyFill="1" applyBorder="1" applyAlignment="1">
      <alignment horizontal="center" vertical="center" wrapText="1"/>
    </xf>
    <xf numFmtId="3" fontId="36" fillId="5" borderId="35" xfId="4" applyNumberFormat="1" applyFont="1" applyFill="1" applyBorder="1" applyAlignment="1">
      <alignment horizontal="center" vertical="center" wrapText="1"/>
    </xf>
    <xf numFmtId="9" fontId="0" fillId="0" borderId="0" xfId="32" applyFont="1" applyAlignment="1">
      <alignment vertical="center"/>
    </xf>
    <xf numFmtId="0" fontId="32" fillId="4" borderId="52" xfId="23" applyFont="1" applyFill="1" applyBorder="1" applyAlignment="1" applyProtection="1">
      <alignment horizontal="center" vertical="center" wrapText="1"/>
    </xf>
    <xf numFmtId="165" fontId="37" fillId="0" borderId="34" xfId="33" applyNumberFormat="1" applyFont="1" applyFill="1" applyBorder="1" applyAlignment="1" applyProtection="1">
      <alignment horizontal="center" vertical="center" wrapText="1"/>
    </xf>
    <xf numFmtId="165" fontId="37" fillId="0" borderId="31" xfId="33" applyNumberFormat="1" applyFont="1" applyFill="1" applyBorder="1" applyAlignment="1" applyProtection="1">
      <alignment horizontal="center" vertical="center" wrapText="1"/>
    </xf>
    <xf numFmtId="165" fontId="37" fillId="0" borderId="39" xfId="1" applyNumberFormat="1" applyFont="1" applyFill="1" applyBorder="1" applyAlignment="1" applyProtection="1">
      <alignment horizontal="center" vertical="center" wrapText="1"/>
    </xf>
    <xf numFmtId="165" fontId="37" fillId="0" borderId="39" xfId="4" applyNumberFormat="1" applyFont="1" applyFill="1" applyBorder="1" applyAlignment="1" applyProtection="1">
      <alignment horizontal="center" vertical="center" wrapText="1"/>
    </xf>
    <xf numFmtId="165" fontId="37" fillId="0" borderId="34" xfId="33" applyNumberFormat="1" applyFont="1" applyFill="1" applyBorder="1" applyAlignment="1" applyProtection="1">
      <alignment horizontal="center" vertical="center" wrapText="1"/>
    </xf>
    <xf numFmtId="165" fontId="37" fillId="0" borderId="39" xfId="1" applyNumberFormat="1" applyFont="1" applyFill="1" applyBorder="1" applyAlignment="1" applyProtection="1">
      <alignment horizontal="center" vertical="center" wrapText="1"/>
    </xf>
    <xf numFmtId="0" fontId="6" fillId="0" borderId="0" xfId="4" applyAlignment="1">
      <alignment vertical="center" wrapText="1"/>
    </xf>
    <xf numFmtId="0" fontId="2" fillId="0" borderId="0" xfId="1" applyAlignment="1">
      <alignment vertical="center"/>
    </xf>
    <xf numFmtId="0" fontId="2" fillId="0" borderId="0" xfId="1" applyAlignment="1">
      <alignment horizontal="center" vertical="center"/>
    </xf>
    <xf numFmtId="165" fontId="37" fillId="0" borderId="39" xfId="1" applyNumberFormat="1" applyFont="1" applyFill="1" applyBorder="1" applyAlignment="1" applyProtection="1">
      <alignment horizontal="center" vertical="center" wrapText="1"/>
    </xf>
    <xf numFmtId="165" fontId="37" fillId="0" borderId="34" xfId="33" applyNumberFormat="1" applyFont="1" applyBorder="1" applyAlignment="1" applyProtection="1">
      <alignment horizontal="center" vertical="center" wrapText="1"/>
    </xf>
    <xf numFmtId="0" fontId="2" fillId="0" borderId="0" xfId="2" applyBorder="1"/>
    <xf numFmtId="165" fontId="37" fillId="0" borderId="74" xfId="1" applyNumberFormat="1" applyFont="1" applyFill="1" applyBorder="1" applyAlignment="1" applyProtection="1">
      <alignment horizontal="center" vertical="center" wrapText="1"/>
    </xf>
    <xf numFmtId="3" fontId="38" fillId="0" borderId="35" xfId="0" applyNumberFormat="1" applyFont="1" applyBorder="1" applyAlignment="1" applyProtection="1">
      <alignment horizontal="center" vertical="center" wrapText="1"/>
    </xf>
    <xf numFmtId="3" fontId="38" fillId="0" borderId="39" xfId="0" applyNumberFormat="1" applyFont="1" applyBorder="1" applyAlignment="1" applyProtection="1">
      <alignment horizontal="center" vertical="center" wrapText="1"/>
    </xf>
    <xf numFmtId="0" fontId="5" fillId="0" borderId="0" xfId="1" applyFont="1" applyBorder="1" applyAlignment="1">
      <alignment horizontal="center" vertical="center"/>
    </xf>
    <xf numFmtId="0" fontId="14" fillId="0" borderId="68" xfId="2" applyFont="1" applyBorder="1" applyAlignment="1">
      <alignment horizontal="center" vertical="center" wrapText="1"/>
    </xf>
    <xf numFmtId="0" fontId="14" fillId="0" borderId="61" xfId="2" applyFont="1" applyBorder="1" applyAlignment="1">
      <alignment horizontal="center" vertical="center" wrapText="1"/>
    </xf>
    <xf numFmtId="0" fontId="14" fillId="0" borderId="69" xfId="2" applyFont="1" applyBorder="1" applyAlignment="1">
      <alignment horizontal="center" vertical="center" wrapText="1"/>
    </xf>
    <xf numFmtId="0" fontId="14" fillId="0" borderId="70" xfId="2" applyFont="1" applyBorder="1" applyAlignment="1">
      <alignment horizontal="center" vertical="center" wrapText="1"/>
    </xf>
    <xf numFmtId="0" fontId="14" fillId="0" borderId="0" xfId="2" applyFont="1" applyBorder="1" applyAlignment="1">
      <alignment horizontal="center" vertical="center" wrapText="1"/>
    </xf>
    <xf numFmtId="0" fontId="14" fillId="0" borderId="71" xfId="2" applyFont="1" applyBorder="1" applyAlignment="1">
      <alignment horizontal="center" vertical="center" wrapText="1"/>
    </xf>
    <xf numFmtId="0" fontId="14" fillId="0" borderId="72" xfId="2" applyFont="1" applyBorder="1" applyAlignment="1">
      <alignment horizontal="center" vertical="center" wrapText="1"/>
    </xf>
    <xf numFmtId="0" fontId="14" fillId="0" borderId="66" xfId="2" applyFont="1" applyBorder="1" applyAlignment="1">
      <alignment horizontal="center" vertical="center" wrapText="1"/>
    </xf>
    <xf numFmtId="0" fontId="14" fillId="0" borderId="73" xfId="2" applyFont="1" applyBorder="1" applyAlignment="1">
      <alignment horizontal="center" vertical="center" wrapText="1"/>
    </xf>
    <xf numFmtId="0" fontId="9" fillId="0" borderId="21" xfId="2" applyFont="1" applyBorder="1" applyAlignment="1">
      <alignment horizontal="center" vertical="top" wrapText="1"/>
    </xf>
    <xf numFmtId="0" fontId="16" fillId="2" borderId="21" xfId="2" applyFont="1" applyFill="1" applyBorder="1" applyAlignment="1">
      <alignment horizontal="left" vertical="center" wrapText="1"/>
    </xf>
    <xf numFmtId="0" fontId="16" fillId="3" borderId="21" xfId="2" applyFont="1" applyFill="1" applyBorder="1" applyAlignment="1">
      <alignment vertical="center" wrapText="1"/>
    </xf>
    <xf numFmtId="0" fontId="14" fillId="0" borderId="62" xfId="2" applyFont="1" applyBorder="1" applyAlignment="1">
      <alignment horizontal="center" vertical="center" wrapText="1"/>
    </xf>
    <xf numFmtId="0" fontId="14" fillId="0" borderId="63" xfId="2" applyFont="1" applyBorder="1" applyAlignment="1">
      <alignment horizontal="center" vertical="center" wrapText="1"/>
    </xf>
    <xf numFmtId="0" fontId="14" fillId="0" borderId="64" xfId="2" applyFont="1" applyBorder="1" applyAlignment="1">
      <alignment horizontal="center" vertical="center" wrapText="1"/>
    </xf>
    <xf numFmtId="0" fontId="14" fillId="0" borderId="65" xfId="2" applyFont="1" applyBorder="1" applyAlignment="1">
      <alignment horizontal="center" vertical="center" wrapText="1"/>
    </xf>
    <xf numFmtId="0" fontId="14" fillId="0" borderId="61" xfId="2" applyFont="1" applyFill="1" applyBorder="1" applyAlignment="1">
      <alignment horizontal="center" vertical="center" wrapText="1"/>
    </xf>
    <xf numFmtId="0" fontId="14" fillId="0" borderId="62" xfId="2" applyFont="1" applyFill="1" applyBorder="1" applyAlignment="1">
      <alignment horizontal="center" vertical="center" wrapText="1"/>
    </xf>
    <xf numFmtId="0" fontId="14" fillId="0" borderId="0" xfId="2" applyFont="1" applyFill="1" applyBorder="1" applyAlignment="1">
      <alignment horizontal="center" vertical="center" wrapText="1"/>
    </xf>
    <xf numFmtId="0" fontId="14" fillId="0" borderId="63" xfId="2" applyFont="1" applyFill="1" applyBorder="1" applyAlignment="1">
      <alignment horizontal="center" vertical="center" wrapText="1"/>
    </xf>
    <xf numFmtId="0" fontId="14" fillId="0" borderId="66" xfId="2" applyFont="1" applyFill="1" applyBorder="1" applyAlignment="1">
      <alignment horizontal="center" vertical="center" wrapText="1"/>
    </xf>
    <xf numFmtId="0" fontId="14" fillId="0" borderId="67" xfId="2" applyFont="1" applyFill="1" applyBorder="1" applyAlignment="1">
      <alignment horizontal="center" vertical="center" wrapText="1"/>
    </xf>
    <xf numFmtId="0" fontId="14" fillId="0" borderId="15" xfId="2" applyFont="1" applyBorder="1" applyAlignment="1">
      <alignment horizontal="center" vertical="top" wrapText="1"/>
    </xf>
    <xf numFmtId="0" fontId="14" fillId="0" borderId="16" xfId="2" applyFont="1" applyBorder="1" applyAlignment="1">
      <alignment horizontal="center" vertical="top" wrapText="1"/>
    </xf>
    <xf numFmtId="0" fontId="8" fillId="0" borderId="17" xfId="2" applyFont="1" applyBorder="1" applyAlignment="1">
      <alignment horizontal="center" vertical="top"/>
    </xf>
    <xf numFmtId="0" fontId="13" fillId="0" borderId="18" xfId="2" applyFont="1" applyBorder="1" applyAlignment="1">
      <alignment horizontal="center" vertical="center" wrapText="1"/>
    </xf>
    <xf numFmtId="0" fontId="14" fillId="0" borderId="4" xfId="2" applyFont="1" applyBorder="1" applyAlignment="1">
      <alignment horizontal="center" vertical="top" wrapText="1"/>
    </xf>
    <xf numFmtId="0" fontId="14" fillId="0" borderId="12" xfId="2" applyFont="1" applyBorder="1" applyAlignment="1">
      <alignment horizontal="center" vertical="top" wrapText="1"/>
    </xf>
    <xf numFmtId="0" fontId="2" fillId="0" borderId="5" xfId="2" applyBorder="1" applyAlignment="1">
      <alignment horizontal="center"/>
    </xf>
    <xf numFmtId="0" fontId="2" fillId="0" borderId="6" xfId="2" applyBorder="1" applyAlignment="1">
      <alignment horizontal="center"/>
    </xf>
    <xf numFmtId="0" fontId="2" fillId="0" borderId="13" xfId="2" applyBorder="1" applyAlignment="1">
      <alignment horizontal="center"/>
    </xf>
    <xf numFmtId="0" fontId="2" fillId="0" borderId="9" xfId="2" applyBorder="1" applyAlignment="1">
      <alignment horizontal="center"/>
    </xf>
    <xf numFmtId="0" fontId="2" fillId="0" borderId="10" xfId="2" applyBorder="1" applyAlignment="1">
      <alignment horizontal="center"/>
    </xf>
    <xf numFmtId="0" fontId="2" fillId="0" borderId="14" xfId="2" applyBorder="1" applyAlignment="1">
      <alignment horizontal="center"/>
    </xf>
    <xf numFmtId="0" fontId="14" fillId="0" borderId="56" xfId="2" applyFont="1" applyBorder="1" applyAlignment="1">
      <alignment horizontal="center" vertical="top" wrapText="1"/>
    </xf>
    <xf numFmtId="0" fontId="14" fillId="0" borderId="8" xfId="2" applyFont="1" applyBorder="1" applyAlignment="1">
      <alignment horizontal="center" vertical="top" wrapText="1"/>
    </xf>
    <xf numFmtId="0" fontId="14" fillId="0" borderId="8" xfId="2" applyFont="1" applyFill="1" applyBorder="1" applyAlignment="1">
      <alignment horizontal="center" vertical="center" wrapText="1"/>
    </xf>
    <xf numFmtId="0" fontId="14" fillId="0" borderId="5" xfId="2" applyFont="1" applyBorder="1" applyAlignment="1">
      <alignment horizontal="center" vertical="top" wrapText="1"/>
    </xf>
    <xf numFmtId="0" fontId="14" fillId="0" borderId="6" xfId="2" applyFont="1" applyBorder="1" applyAlignment="1">
      <alignment horizontal="center" vertical="top" wrapText="1"/>
    </xf>
    <xf numFmtId="0" fontId="14" fillId="0" borderId="7" xfId="2" applyFont="1" applyBorder="1" applyAlignment="1">
      <alignment horizontal="center" vertical="top" wrapText="1"/>
    </xf>
    <xf numFmtId="0" fontId="14" fillId="0" borderId="9" xfId="2" applyFont="1" applyBorder="1" applyAlignment="1">
      <alignment horizontal="center" vertical="top" wrapText="1"/>
    </xf>
    <xf numFmtId="0" fontId="14" fillId="0" borderId="10" xfId="2" applyFont="1" applyBorder="1" applyAlignment="1">
      <alignment horizontal="center" vertical="top" wrapText="1"/>
    </xf>
    <xf numFmtId="0" fontId="14" fillId="0" borderId="11" xfId="2" applyFont="1" applyBorder="1" applyAlignment="1">
      <alignment horizontal="center" vertical="top" wrapText="1"/>
    </xf>
    <xf numFmtId="0" fontId="14" fillId="0" borderId="8" xfId="2" applyFont="1" applyFill="1" applyBorder="1" applyAlignment="1">
      <alignment horizontal="center" vertical="top" wrapText="1"/>
    </xf>
    <xf numFmtId="0" fontId="14" fillId="0" borderId="0" xfId="2" applyFont="1" applyBorder="1" applyAlignment="1">
      <alignment horizontal="center" vertical="top" wrapText="1"/>
    </xf>
    <xf numFmtId="0" fontId="9" fillId="0" borderId="0" xfId="2" applyFont="1" applyBorder="1" applyAlignment="1">
      <alignment horizontal="center" vertical="center"/>
    </xf>
    <xf numFmtId="0" fontId="10" fillId="0" borderId="0" xfId="2" applyFont="1" applyBorder="1" applyAlignment="1">
      <alignment horizontal="center" vertical="center"/>
    </xf>
    <xf numFmtId="165" fontId="12" fillId="0" borderId="1" xfId="7" applyNumberFormat="1" applyFont="1" applyFill="1" applyBorder="1" applyAlignment="1" applyProtection="1">
      <alignment horizontal="center" vertical="center"/>
    </xf>
    <xf numFmtId="0" fontId="13" fillId="0" borderId="2" xfId="2" applyFont="1" applyBorder="1" applyAlignment="1">
      <alignment horizontal="center" vertical="center" wrapText="1"/>
    </xf>
    <xf numFmtId="0" fontId="14" fillId="0" borderId="3" xfId="2" applyFont="1" applyBorder="1" applyAlignment="1">
      <alignment horizontal="center" vertical="top" wrapText="1"/>
    </xf>
    <xf numFmtId="0" fontId="43" fillId="0" borderId="0" xfId="4" applyFont="1" applyAlignment="1">
      <alignment horizontal="left" vertical="center" wrapText="1"/>
    </xf>
    <xf numFmtId="0" fontId="31" fillId="6" borderId="34" xfId="4" applyFont="1" applyFill="1" applyBorder="1" applyAlignment="1">
      <alignment horizontal="center" vertical="center" wrapText="1"/>
    </xf>
    <xf numFmtId="0" fontId="30" fillId="8" borderId="22" xfId="4" applyFont="1" applyFill="1" applyBorder="1" applyAlignment="1">
      <alignment horizontal="center" vertical="center" wrapText="1"/>
    </xf>
    <xf numFmtId="0" fontId="30" fillId="8" borderId="23" xfId="4" applyFont="1" applyFill="1" applyBorder="1" applyAlignment="1">
      <alignment horizontal="center" vertical="center" wrapText="1"/>
    </xf>
    <xf numFmtId="0" fontId="30" fillId="8" borderId="24" xfId="4" applyFont="1" applyFill="1" applyBorder="1" applyAlignment="1">
      <alignment horizontal="center" vertical="center" wrapText="1"/>
    </xf>
    <xf numFmtId="0" fontId="30" fillId="4" borderId="29" xfId="4" applyFont="1" applyFill="1" applyBorder="1" applyAlignment="1">
      <alignment horizontal="left" vertical="center" wrapText="1"/>
    </xf>
    <xf numFmtId="0" fontId="30" fillId="4" borderId="30" xfId="4" applyFont="1" applyFill="1" applyBorder="1" applyAlignment="1">
      <alignment horizontal="left" vertical="center" wrapText="1"/>
    </xf>
    <xf numFmtId="0" fontId="30" fillId="4" borderId="32" xfId="4" applyFont="1" applyFill="1" applyBorder="1" applyAlignment="1">
      <alignment horizontal="left" vertical="center" wrapText="1"/>
    </xf>
    <xf numFmtId="0" fontId="30" fillId="4" borderId="33" xfId="4" applyFont="1" applyFill="1" applyBorder="1" applyAlignment="1">
      <alignment horizontal="left" vertical="center" wrapText="1"/>
    </xf>
    <xf numFmtId="0" fontId="29" fillId="7" borderId="22" xfId="0" applyFont="1" applyFill="1" applyBorder="1" applyAlignment="1">
      <alignment horizontal="center" vertical="center" wrapText="1"/>
    </xf>
    <xf numFmtId="0" fontId="29" fillId="7" borderId="23" xfId="0" applyFont="1" applyFill="1" applyBorder="1" applyAlignment="1">
      <alignment horizontal="center" vertical="center" wrapText="1"/>
    </xf>
    <xf numFmtId="0" fontId="29" fillId="7" borderId="24" xfId="0" applyFont="1" applyFill="1" applyBorder="1" applyAlignment="1">
      <alignment horizontal="center" vertical="center" wrapText="1"/>
    </xf>
    <xf numFmtId="0" fontId="28" fillId="6" borderId="22" xfId="0" applyFont="1" applyFill="1" applyBorder="1" applyAlignment="1">
      <alignment horizontal="center" vertical="center"/>
    </xf>
    <xf numFmtId="0" fontId="28" fillId="6" borderId="23" xfId="0" applyFont="1" applyFill="1" applyBorder="1" applyAlignment="1">
      <alignment horizontal="center" vertical="center"/>
    </xf>
    <xf numFmtId="0" fontId="28" fillId="6" borderId="24" xfId="0" applyFont="1" applyFill="1" applyBorder="1" applyAlignment="1">
      <alignment horizontal="center" vertical="center"/>
    </xf>
    <xf numFmtId="165" fontId="41" fillId="0" borderId="39" xfId="4" applyNumberFormat="1" applyFont="1" applyFill="1" applyBorder="1" applyAlignment="1" applyProtection="1">
      <alignment horizontal="center" vertical="center" wrapText="1"/>
    </xf>
    <xf numFmtId="0" fontId="28" fillId="6" borderId="23" xfId="4" applyFont="1" applyFill="1" applyBorder="1" applyAlignment="1">
      <alignment horizontal="center" vertical="center"/>
    </xf>
    <xf numFmtId="0" fontId="28" fillId="6" borderId="24" xfId="4" applyFont="1" applyFill="1" applyBorder="1" applyAlignment="1">
      <alignment horizontal="center" vertical="center"/>
    </xf>
    <xf numFmtId="0" fontId="30" fillId="4" borderId="36" xfId="4" applyFont="1" applyFill="1" applyBorder="1" applyAlignment="1">
      <alignment horizontal="left" vertical="center"/>
    </xf>
    <xf numFmtId="0" fontId="30" fillId="4" borderId="37" xfId="4" applyFont="1" applyFill="1" applyBorder="1" applyAlignment="1">
      <alignment horizontal="left" vertical="center"/>
    </xf>
    <xf numFmtId="0" fontId="30" fillId="4" borderId="38" xfId="4" applyFont="1" applyFill="1" applyBorder="1" applyAlignment="1">
      <alignment horizontal="left" vertical="center"/>
    </xf>
    <xf numFmtId="0" fontId="30" fillId="4" borderId="28" xfId="4" applyFont="1" applyFill="1" applyBorder="1" applyAlignment="1">
      <alignment horizontal="left" vertical="center" wrapText="1"/>
    </xf>
    <xf numFmtId="0" fontId="30" fillId="4" borderId="25" xfId="4" applyFont="1" applyFill="1" applyBorder="1" applyAlignment="1">
      <alignment horizontal="left" vertical="center" wrapText="1"/>
    </xf>
    <xf numFmtId="0" fontId="30" fillId="4" borderId="26" xfId="4" applyFont="1" applyFill="1" applyBorder="1" applyAlignment="1">
      <alignment horizontal="left" vertical="center" wrapText="1"/>
    </xf>
    <xf numFmtId="0" fontId="30" fillId="4" borderId="27" xfId="4" applyFont="1" applyFill="1" applyBorder="1" applyAlignment="1">
      <alignment horizontal="left" vertical="center" wrapText="1"/>
    </xf>
    <xf numFmtId="0" fontId="32" fillId="0" borderId="42" xfId="4" quotePrefix="1" applyNumberFormat="1" applyFont="1" applyBorder="1" applyAlignment="1" applyProtection="1">
      <alignment horizontal="center" vertical="center" wrapText="1"/>
    </xf>
    <xf numFmtId="0" fontId="32" fillId="0" borderId="35" xfId="4" quotePrefix="1" applyNumberFormat="1" applyFont="1" applyBorder="1" applyAlignment="1" applyProtection="1">
      <alignment horizontal="center" vertical="center" wrapText="1"/>
    </xf>
    <xf numFmtId="0" fontId="32" fillId="0" borderId="42" xfId="4" quotePrefix="1" applyNumberFormat="1" applyFont="1" applyFill="1" applyBorder="1" applyAlignment="1" applyProtection="1">
      <alignment horizontal="left" vertical="center" wrapText="1"/>
    </xf>
    <xf numFmtId="0" fontId="32" fillId="0" borderId="35" xfId="4" quotePrefix="1" applyNumberFormat="1" applyFont="1" applyFill="1" applyBorder="1" applyAlignment="1" applyProtection="1">
      <alignment horizontal="left" vertical="center" wrapText="1"/>
    </xf>
    <xf numFmtId="0" fontId="32" fillId="0" borderId="42" xfId="4" applyNumberFormat="1" applyFont="1" applyBorder="1" applyAlignment="1" applyProtection="1">
      <alignment horizontal="center" vertical="center" wrapText="1"/>
    </xf>
    <xf numFmtId="0" fontId="32" fillId="0" borderId="35" xfId="4" applyNumberFormat="1" applyFont="1" applyBorder="1" applyAlignment="1" applyProtection="1">
      <alignment horizontal="center" vertical="center" wrapText="1"/>
    </xf>
    <xf numFmtId="0" fontId="32" fillId="0" borderId="48" xfId="4" quotePrefix="1" applyNumberFormat="1" applyFont="1" applyBorder="1" applyAlignment="1" applyProtection="1">
      <alignment horizontal="center" vertical="center" wrapText="1"/>
    </xf>
    <xf numFmtId="0" fontId="32" fillId="0" borderId="44" xfId="4" quotePrefix="1" applyNumberFormat="1" applyFont="1" applyBorder="1" applyAlignment="1" applyProtection="1">
      <alignment horizontal="center" vertical="center" wrapText="1"/>
    </xf>
    <xf numFmtId="0" fontId="32" fillId="0" borderId="49" xfId="4" quotePrefix="1" applyNumberFormat="1" applyFont="1" applyBorder="1" applyAlignment="1" applyProtection="1">
      <alignment horizontal="center" vertical="center" wrapText="1"/>
    </xf>
    <xf numFmtId="0" fontId="32" fillId="0" borderId="42" xfId="4" quotePrefix="1" applyNumberFormat="1" applyFont="1" applyFill="1" applyBorder="1" applyAlignment="1" applyProtection="1">
      <alignment horizontal="center" vertical="center" wrapText="1"/>
    </xf>
    <xf numFmtId="0" fontId="32" fillId="0" borderId="45" xfId="4" quotePrefix="1" applyNumberFormat="1" applyFont="1" applyFill="1" applyBorder="1" applyAlignment="1" applyProtection="1">
      <alignment horizontal="center" vertical="center" wrapText="1"/>
    </xf>
    <xf numFmtId="0" fontId="32" fillId="0" borderId="35" xfId="4" quotePrefix="1" applyNumberFormat="1" applyFont="1" applyFill="1" applyBorder="1" applyAlignment="1" applyProtection="1">
      <alignment horizontal="center" vertical="center" wrapText="1"/>
    </xf>
    <xf numFmtId="0" fontId="32" fillId="0" borderId="45" xfId="4" quotePrefix="1" applyNumberFormat="1" applyFont="1" applyFill="1" applyBorder="1" applyAlignment="1" applyProtection="1">
      <alignment horizontal="left" vertical="center" wrapText="1"/>
    </xf>
    <xf numFmtId="0" fontId="32" fillId="0" borderId="45" xfId="4" applyNumberFormat="1" applyFont="1" applyBorder="1" applyAlignment="1" applyProtection="1">
      <alignment horizontal="center" vertical="center" wrapText="1"/>
    </xf>
    <xf numFmtId="0" fontId="32" fillId="0" borderId="42" xfId="0" applyFont="1" applyFill="1" applyBorder="1" applyAlignment="1" applyProtection="1">
      <alignment horizontal="center" vertical="center" wrapText="1"/>
    </xf>
    <xf numFmtId="0" fontId="32" fillId="0" borderId="35" xfId="0" applyFont="1" applyFill="1" applyBorder="1" applyAlignment="1" applyProtection="1">
      <alignment horizontal="center" vertical="center" wrapText="1"/>
    </xf>
    <xf numFmtId="165" fontId="39" fillId="0" borderId="39" xfId="4" applyNumberFormat="1" applyFont="1" applyFill="1" applyBorder="1" applyAlignment="1" applyProtection="1">
      <alignment horizontal="center" vertical="center" wrapText="1"/>
    </xf>
    <xf numFmtId="0" fontId="32" fillId="0" borderId="42" xfId="4" applyNumberFormat="1" applyFont="1" applyFill="1" applyBorder="1" applyAlignment="1" applyProtection="1">
      <alignment horizontal="left" vertical="center" wrapText="1"/>
    </xf>
    <xf numFmtId="0" fontId="32" fillId="0" borderId="35" xfId="4" applyNumberFormat="1" applyFont="1" applyFill="1" applyBorder="1" applyAlignment="1" applyProtection="1">
      <alignment horizontal="left" vertical="center" wrapText="1"/>
    </xf>
    <xf numFmtId="0" fontId="32" fillId="0" borderId="45" xfId="4" applyNumberFormat="1" applyFont="1" applyFill="1" applyBorder="1" applyAlignment="1" applyProtection="1">
      <alignment horizontal="center" vertical="center" wrapText="1"/>
    </xf>
    <xf numFmtId="0" fontId="32" fillId="0" borderId="35" xfId="4" applyNumberFormat="1" applyFont="1" applyFill="1" applyBorder="1" applyAlignment="1" applyProtection="1">
      <alignment horizontal="center" vertical="center" wrapText="1"/>
    </xf>
    <xf numFmtId="0" fontId="32" fillId="0" borderId="45" xfId="0" applyFont="1" applyFill="1" applyBorder="1" applyAlignment="1" applyProtection="1">
      <alignment horizontal="center" vertical="center" wrapText="1"/>
    </xf>
    <xf numFmtId="165" fontId="39" fillId="0" borderId="44" xfId="4" applyNumberFormat="1" applyFont="1" applyFill="1" applyBorder="1" applyAlignment="1" applyProtection="1">
      <alignment horizontal="center" vertical="center" wrapText="1"/>
    </xf>
    <xf numFmtId="165" fontId="39" fillId="0" borderId="46" xfId="4" applyNumberFormat="1" applyFont="1" applyFill="1" applyBorder="1" applyAlignment="1" applyProtection="1">
      <alignment horizontal="center" vertical="center" wrapText="1"/>
    </xf>
    <xf numFmtId="165" fontId="37" fillId="0" borderId="47" xfId="1" applyNumberFormat="1" applyFont="1" applyFill="1" applyBorder="1" applyAlignment="1" applyProtection="1">
      <alignment horizontal="center" vertical="center" wrapText="1"/>
    </xf>
    <xf numFmtId="165" fontId="37" fillId="0" borderId="44" xfId="1" applyNumberFormat="1" applyFont="1" applyFill="1" applyBorder="1" applyAlignment="1" applyProtection="1">
      <alignment horizontal="center" vertical="center" wrapText="1"/>
    </xf>
    <xf numFmtId="165" fontId="37" fillId="0" borderId="46" xfId="1" applyNumberFormat="1" applyFont="1" applyFill="1" applyBorder="1" applyAlignment="1" applyProtection="1">
      <alignment horizontal="center" vertical="center" wrapText="1"/>
    </xf>
    <xf numFmtId="0" fontId="6" fillId="0" borderId="0" xfId="4" applyAlignment="1">
      <alignment horizontal="left" vertical="center" wrapText="1"/>
    </xf>
    <xf numFmtId="0" fontId="34" fillId="0" borderId="42" xfId="0" applyFont="1" applyFill="1" applyBorder="1" applyAlignment="1" applyProtection="1">
      <alignment horizontal="center" vertical="center" wrapText="1"/>
    </xf>
    <xf numFmtId="0" fontId="34" fillId="0" borderId="35" xfId="0" applyFont="1" applyFill="1" applyBorder="1" applyAlignment="1" applyProtection="1">
      <alignment horizontal="center" vertical="center" wrapText="1"/>
    </xf>
    <xf numFmtId="165" fontId="39" fillId="0" borderId="43" xfId="4" applyNumberFormat="1" applyFont="1" applyFill="1" applyBorder="1" applyAlignment="1" applyProtection="1">
      <alignment horizontal="center" vertical="center" wrapText="1"/>
    </xf>
    <xf numFmtId="165" fontId="39" fillId="0" borderId="40" xfId="4" applyNumberFormat="1" applyFont="1" applyFill="1" applyBorder="1" applyAlignment="1" applyProtection="1">
      <alignment horizontal="center" vertical="center" wrapText="1"/>
    </xf>
    <xf numFmtId="165" fontId="37" fillId="0" borderId="48" xfId="1" applyNumberFormat="1" applyFont="1" applyFill="1" applyBorder="1" applyAlignment="1" applyProtection="1">
      <alignment horizontal="center" vertical="center" wrapText="1"/>
    </xf>
    <xf numFmtId="165" fontId="37" fillId="0" borderId="39" xfId="1" applyNumberFormat="1" applyFont="1" applyFill="1" applyBorder="1" applyAlignment="1" applyProtection="1">
      <alignment horizontal="center" vertical="center" wrapText="1"/>
    </xf>
    <xf numFmtId="165" fontId="37" fillId="0" borderId="43" xfId="1" applyNumberFormat="1" applyFont="1" applyFill="1" applyBorder="1" applyAlignment="1" applyProtection="1">
      <alignment horizontal="center" vertical="center" wrapText="1"/>
    </xf>
    <xf numFmtId="165" fontId="37" fillId="0" borderId="40" xfId="1" applyNumberFormat="1" applyFont="1" applyFill="1" applyBorder="1" applyAlignment="1" applyProtection="1">
      <alignment horizontal="center" vertical="center" wrapText="1"/>
    </xf>
    <xf numFmtId="165" fontId="37" fillId="0" borderId="43" xfId="1" applyNumberFormat="1" applyFont="1" applyFill="1" applyBorder="1" applyAlignment="1" applyProtection="1">
      <alignment horizontal="left" vertical="center" wrapText="1"/>
    </xf>
    <xf numFmtId="165" fontId="37" fillId="0" borderId="41" xfId="1" applyNumberFormat="1" applyFont="1" applyFill="1" applyBorder="1" applyAlignment="1" applyProtection="1">
      <alignment horizontal="left" vertical="center" wrapText="1"/>
    </xf>
    <xf numFmtId="165" fontId="37" fillId="0" borderId="40" xfId="1" applyNumberFormat="1" applyFont="1" applyFill="1" applyBorder="1" applyAlignment="1" applyProtection="1">
      <alignment horizontal="left" vertical="center" wrapText="1"/>
    </xf>
    <xf numFmtId="165" fontId="37" fillId="0" borderId="41" xfId="1" applyNumberFormat="1" applyFont="1" applyFill="1" applyBorder="1" applyAlignment="1" applyProtection="1">
      <alignment horizontal="center" vertical="center" wrapText="1"/>
    </xf>
    <xf numFmtId="165" fontId="39" fillId="0" borderId="41" xfId="4" applyNumberFormat="1" applyFont="1" applyFill="1" applyBorder="1" applyAlignment="1" applyProtection="1">
      <alignment horizontal="center" vertical="center" wrapText="1"/>
    </xf>
    <xf numFmtId="165" fontId="37" fillId="0" borderId="54" xfId="1" applyNumberFormat="1" applyFont="1" applyFill="1" applyBorder="1" applyAlignment="1" applyProtection="1">
      <alignment horizontal="center" vertical="center" wrapText="1"/>
    </xf>
    <xf numFmtId="165" fontId="37" fillId="0" borderId="57" xfId="1" applyNumberFormat="1" applyFont="1" applyFill="1" applyBorder="1" applyAlignment="1" applyProtection="1">
      <alignment horizontal="center" vertical="center" wrapText="1"/>
    </xf>
    <xf numFmtId="165" fontId="37" fillId="0" borderId="58" xfId="1" applyNumberFormat="1" applyFont="1" applyFill="1" applyBorder="1" applyAlignment="1" applyProtection="1">
      <alignment horizontal="center" vertical="center" wrapText="1"/>
    </xf>
    <xf numFmtId="165" fontId="37" fillId="0" borderId="60" xfId="1" applyNumberFormat="1" applyFont="1" applyFill="1" applyBorder="1" applyAlignment="1" applyProtection="1">
      <alignment horizontal="center" vertical="center" wrapText="1"/>
    </xf>
    <xf numFmtId="165" fontId="37" fillId="0" borderId="59" xfId="1" applyNumberFormat="1" applyFont="1" applyFill="1" applyBorder="1" applyAlignment="1" applyProtection="1">
      <alignment horizontal="center" vertical="center" wrapText="1"/>
    </xf>
    <xf numFmtId="0" fontId="32" fillId="0" borderId="34" xfId="16" applyFont="1" applyBorder="1" applyAlignment="1" applyProtection="1">
      <alignment horizontal="center" vertical="center" wrapText="1"/>
    </xf>
    <xf numFmtId="165" fontId="37" fillId="0" borderId="39" xfId="4" applyNumberFormat="1" applyFont="1" applyFill="1" applyBorder="1" applyAlignment="1" applyProtection="1">
      <alignment horizontal="center" vertical="center" wrapText="1"/>
    </xf>
    <xf numFmtId="165" fontId="37" fillId="0" borderId="34" xfId="15" applyNumberFormat="1" applyFont="1" applyFill="1" applyBorder="1" applyAlignment="1" applyProtection="1">
      <alignment horizontal="center" vertical="center" wrapText="1"/>
    </xf>
    <xf numFmtId="165" fontId="37" fillId="0" borderId="34" xfId="33" applyNumberFormat="1" applyFont="1" applyBorder="1" applyAlignment="1" applyProtection="1">
      <alignment horizontal="center" vertical="center" wrapText="1"/>
    </xf>
    <xf numFmtId="165" fontId="37" fillId="0" borderId="42" xfId="33" applyNumberFormat="1" applyFont="1" applyFill="1" applyBorder="1" applyAlignment="1" applyProtection="1">
      <alignment horizontal="left" vertical="center" wrapText="1"/>
    </xf>
    <xf numFmtId="165" fontId="37" fillId="0" borderId="45" xfId="33" quotePrefix="1" applyNumberFormat="1" applyFont="1" applyFill="1" applyBorder="1" applyAlignment="1" applyProtection="1">
      <alignment horizontal="left" vertical="center" wrapText="1"/>
    </xf>
    <xf numFmtId="165" fontId="37" fillId="0" borderId="35" xfId="33" quotePrefix="1" applyNumberFormat="1" applyFont="1" applyFill="1" applyBorder="1" applyAlignment="1" applyProtection="1">
      <alignment horizontal="left" vertical="center" wrapText="1"/>
    </xf>
    <xf numFmtId="165" fontId="37" fillId="0" borderId="34" xfId="33" applyNumberFormat="1" applyFont="1" applyFill="1" applyBorder="1" applyAlignment="1" applyProtection="1">
      <alignment horizontal="center" vertical="center" wrapText="1"/>
    </xf>
    <xf numFmtId="165" fontId="37" fillId="0" borderId="34" xfId="33" applyNumberFormat="1" applyFont="1" applyBorder="1" applyAlignment="1" applyProtection="1">
      <alignment horizontal="left" vertical="center" wrapText="1"/>
    </xf>
    <xf numFmtId="165" fontId="37" fillId="10" borderId="34" xfId="33" applyNumberFormat="1" applyFont="1" applyFill="1" applyBorder="1" applyAlignment="1" applyProtection="1">
      <alignment horizontal="center" vertical="center" wrapText="1"/>
    </xf>
    <xf numFmtId="165" fontId="37" fillId="10" borderId="42" xfId="33" applyNumberFormat="1" applyFont="1" applyFill="1" applyBorder="1" applyAlignment="1" applyProtection="1">
      <alignment horizontal="center" vertical="center" wrapText="1"/>
    </xf>
    <xf numFmtId="165" fontId="37" fillId="10" borderId="45" xfId="33" applyNumberFormat="1" applyFont="1" applyFill="1" applyBorder="1" applyAlignment="1" applyProtection="1">
      <alignment horizontal="center" vertical="center" wrapText="1"/>
    </xf>
    <xf numFmtId="165" fontId="37" fillId="10" borderId="35" xfId="33" applyNumberFormat="1" applyFont="1" applyFill="1" applyBorder="1" applyAlignment="1" applyProtection="1">
      <alignment horizontal="center" vertical="center" wrapText="1"/>
    </xf>
    <xf numFmtId="165" fontId="37" fillId="0" borderId="42" xfId="33" applyNumberFormat="1" applyFont="1" applyBorder="1" applyAlignment="1" applyProtection="1">
      <alignment horizontal="center" vertical="center" wrapText="1"/>
    </xf>
    <xf numFmtId="165" fontId="37" fillId="0" borderId="45" xfId="33" applyNumberFormat="1" applyFont="1" applyBorder="1" applyAlignment="1" applyProtection="1">
      <alignment horizontal="center" vertical="center" wrapText="1"/>
    </xf>
    <xf numFmtId="165" fontId="37" fillId="0" borderId="42" xfId="33" quotePrefix="1" applyNumberFormat="1" applyFont="1" applyBorder="1" applyAlignment="1" applyProtection="1">
      <alignment horizontal="center" vertical="center" wrapText="1"/>
    </xf>
    <xf numFmtId="165" fontId="37" fillId="0" borderId="45" xfId="33" quotePrefix="1" applyNumberFormat="1" applyFont="1" applyBorder="1" applyAlignment="1" applyProtection="1">
      <alignment horizontal="center" vertical="center" wrapText="1"/>
    </xf>
    <xf numFmtId="165" fontId="37" fillId="0" borderId="35" xfId="33" quotePrefix="1" applyNumberFormat="1" applyFont="1" applyBorder="1" applyAlignment="1" applyProtection="1">
      <alignment horizontal="center" vertical="center" wrapText="1"/>
    </xf>
    <xf numFmtId="0" fontId="32" fillId="0" borderId="42" xfId="23" applyFont="1" applyFill="1" applyBorder="1" applyAlignment="1" applyProtection="1">
      <alignment horizontal="center" vertical="center" wrapText="1"/>
    </xf>
    <xf numFmtId="0" fontId="32" fillId="0" borderId="45" xfId="23" applyFont="1" applyFill="1" applyBorder="1" applyAlignment="1" applyProtection="1">
      <alignment horizontal="center" vertical="center" wrapText="1"/>
    </xf>
    <xf numFmtId="0" fontId="32" fillId="0" borderId="35" xfId="23" applyFont="1" applyFill="1" applyBorder="1" applyAlignment="1" applyProtection="1">
      <alignment horizontal="center" vertical="center" wrapText="1"/>
    </xf>
    <xf numFmtId="165" fontId="37" fillId="4" borderId="43" xfId="4" applyNumberFormat="1" applyFont="1" applyFill="1" applyBorder="1" applyAlignment="1" applyProtection="1">
      <alignment horizontal="left" vertical="center" wrapText="1"/>
    </xf>
    <xf numFmtId="165" fontId="37" fillId="4" borderId="40" xfId="4" applyNumberFormat="1" applyFont="1" applyFill="1" applyBorder="1" applyAlignment="1" applyProtection="1">
      <alignment horizontal="left" vertical="center" wrapText="1"/>
    </xf>
    <xf numFmtId="0" fontId="0" fillId="0" borderId="39" xfId="0" applyFill="1" applyBorder="1" applyProtection="1"/>
    <xf numFmtId="165" fontId="37" fillId="4" borderId="39" xfId="1" applyNumberFormat="1" applyFont="1" applyFill="1" applyBorder="1" applyAlignment="1" applyProtection="1">
      <alignment horizontal="left" vertical="center" wrapText="1"/>
    </xf>
    <xf numFmtId="0" fontId="13" fillId="0" borderId="75" xfId="2" applyFont="1" applyBorder="1" applyAlignment="1">
      <alignment horizontal="center" vertical="center" wrapText="1"/>
    </xf>
    <xf numFmtId="0" fontId="13" fillId="0" borderId="76" xfId="2" applyFont="1" applyBorder="1" applyAlignment="1">
      <alignment horizontal="center" vertical="center" wrapText="1"/>
    </xf>
    <xf numFmtId="0" fontId="13" fillId="0" borderId="77" xfId="2" applyFont="1" applyBorder="1" applyAlignment="1">
      <alignment horizontal="center" vertical="center" wrapText="1"/>
    </xf>
    <xf numFmtId="0" fontId="14" fillId="0" borderId="78" xfId="2" applyFont="1" applyBorder="1" applyAlignment="1">
      <alignment horizontal="center" vertical="top" wrapText="1"/>
    </xf>
    <xf numFmtId="0" fontId="14" fillId="0" borderId="79" xfId="2" applyFont="1" applyBorder="1" applyAlignment="1">
      <alignment horizontal="center" vertical="top" wrapText="1"/>
    </xf>
    <xf numFmtId="0" fontId="14" fillId="0" borderId="80" xfId="2" applyFont="1" applyBorder="1" applyAlignment="1">
      <alignment horizontal="center" vertical="top" wrapText="1"/>
    </xf>
    <xf numFmtId="0" fontId="13" fillId="0" borderId="81" xfId="2" applyFont="1" applyBorder="1" applyAlignment="1">
      <alignment horizontal="center" vertical="center" wrapText="1"/>
    </xf>
    <xf numFmtId="0" fontId="14" fillId="0" borderId="82" xfId="2" applyFont="1" applyBorder="1" applyAlignment="1">
      <alignment horizontal="center" vertical="center" wrapText="1"/>
    </xf>
    <xf numFmtId="0" fontId="14" fillId="0" borderId="83" xfId="2" applyFont="1" applyBorder="1" applyAlignment="1">
      <alignment horizontal="center" vertical="center" wrapText="1"/>
    </xf>
    <xf numFmtId="0" fontId="14" fillId="0" borderId="84" xfId="2" applyFont="1" applyBorder="1" applyAlignment="1">
      <alignment horizontal="center" vertical="center" wrapText="1"/>
    </xf>
    <xf numFmtId="0" fontId="14" fillId="0" borderId="82" xfId="2" applyFont="1" applyFill="1" applyBorder="1" applyAlignment="1">
      <alignment horizontal="center" vertical="center" wrapText="1"/>
    </xf>
    <xf numFmtId="0" fontId="14" fillId="0" borderId="83" xfId="2" applyFont="1" applyFill="1" applyBorder="1" applyAlignment="1">
      <alignment horizontal="center" vertical="center" wrapText="1"/>
    </xf>
    <xf numFmtId="0" fontId="14" fillId="0" borderId="85" xfId="2" applyFont="1" applyFill="1" applyBorder="1" applyAlignment="1">
      <alignment horizontal="center" vertical="center" wrapText="1"/>
    </xf>
    <xf numFmtId="0" fontId="9" fillId="0" borderId="86" xfId="2" applyFont="1" applyBorder="1" applyAlignment="1">
      <alignment horizontal="center" vertical="top" wrapText="1"/>
    </xf>
    <xf numFmtId="0" fontId="16" fillId="2" borderId="86" xfId="2" applyFont="1" applyFill="1" applyBorder="1" applyAlignment="1">
      <alignment horizontal="left" vertical="center" wrapText="1"/>
    </xf>
    <xf numFmtId="165" fontId="37" fillId="0" borderId="35" xfId="33" applyNumberFormat="1" applyFont="1" applyBorder="1" applyAlignment="1" applyProtection="1">
      <alignment horizontal="center" vertical="center" wrapText="1"/>
    </xf>
  </cellXfs>
  <cellStyles count="54">
    <cellStyle name="Excel Built-in Hyperlink" xfId="8"/>
    <cellStyle name="Excel Built-in Normal" xfId="1"/>
    <cellStyle name="Excel Built-in Normal 2" xfId="2"/>
    <cellStyle name="Excel Built-in Normal 2 2" xfId="35"/>
    <cellStyle name="Excel Built-in Normal 3" xfId="7"/>
    <cellStyle name="Excel Built-in Normal 3 2" xfId="34"/>
    <cellStyle name="Excel Built-in Normal 4" xfId="9"/>
    <cellStyle name="Excel Built-in Normal 5" xfId="10"/>
    <cellStyle name="Excel Built-in Normal 6" xfId="11"/>
    <cellStyle name="Excel Built-in Normal 7" xfId="36"/>
    <cellStyle name="Excel Built-in Normal 7 2" xfId="37"/>
    <cellStyle name="Heading" xfId="12"/>
    <cellStyle name="Heading 3" xfId="13"/>
    <cellStyle name="Heading 4" xfId="38"/>
    <cellStyle name="Heading1" xfId="14"/>
    <cellStyle name="Millares 2" xfId="3"/>
    <cellStyle name="Normal" xfId="0" builtinId="0"/>
    <cellStyle name="Normal 2" xfId="4"/>
    <cellStyle name="Normal 2 2" xfId="15"/>
    <cellStyle name="Normal 2 2 2" xfId="5"/>
    <cellStyle name="Normal 2 2 3" xfId="39"/>
    <cellStyle name="Normal 2 3" xfId="16"/>
    <cellStyle name="Normal 2 4" xfId="17"/>
    <cellStyle name="Normal 2 5" xfId="18"/>
    <cellStyle name="Normal 2 5 3" xfId="33"/>
    <cellStyle name="Normal 2 6" xfId="19"/>
    <cellStyle name="Normal 2 7" xfId="40"/>
    <cellStyle name="Normal 3" xfId="20"/>
    <cellStyle name="Normal 4" xfId="21"/>
    <cellStyle name="Normal 5" xfId="22"/>
    <cellStyle name="Normal 6" xfId="23"/>
    <cellStyle name="Normal 6 2" xfId="41"/>
    <cellStyle name="Normal 7" xfId="6"/>
    <cellStyle name="Normal 7 2" xfId="24"/>
    <cellStyle name="Porcentaje" xfId="32" builtinId="5"/>
    <cellStyle name="Porcentaje 2" xfId="42"/>
    <cellStyle name="Porcentaje 3" xfId="43"/>
    <cellStyle name="Porcentaje 4" xfId="44"/>
    <cellStyle name="Porcentaje 5" xfId="45"/>
    <cellStyle name="Porcentual 2" xfId="25"/>
    <cellStyle name="Porcentual 2 2" xfId="26"/>
    <cellStyle name="Porcentual 2 3" xfId="27"/>
    <cellStyle name="Porcentual 2 4" xfId="46"/>
    <cellStyle name="Porcentual 2 5" xfId="47"/>
    <cellStyle name="Porcentual 2 6" xfId="48"/>
    <cellStyle name="Porcentual 2 7" xfId="49"/>
    <cellStyle name="Porcentual 3" xfId="50"/>
    <cellStyle name="Porcentual 4" xfId="51"/>
    <cellStyle name="Porcentual 4 2" xfId="52"/>
    <cellStyle name="Result" xfId="28"/>
    <cellStyle name="Result 4" xfId="29"/>
    <cellStyle name="Result 5" xfId="53"/>
    <cellStyle name="Result2" xfId="30"/>
    <cellStyle name="Resultado2" xfId="31"/>
  </cellStyles>
  <dxfs count="0"/>
  <tableStyles count="0" defaultTableStyle="TableStyleMedium9" defaultPivotStyle="PivotStyleLight16"/>
  <colors>
    <mruColors>
      <color rgb="FF000000"/>
      <color rgb="FF70AD47"/>
      <color rgb="FFA9D18D"/>
      <color rgb="FF385723"/>
      <color rgb="FF2C3616"/>
      <color rgb="FF2B3616"/>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ntenido!A1"/></Relationships>
</file>

<file path=xl/drawings/drawing1.xml><?xml version="1.0" encoding="utf-8"?>
<xdr:wsDr xmlns:xdr="http://schemas.openxmlformats.org/drawingml/2006/spreadsheetDrawing" xmlns:a="http://schemas.openxmlformats.org/drawingml/2006/main">
  <xdr:twoCellAnchor>
    <xdr:from>
      <xdr:col>6</xdr:col>
      <xdr:colOff>628650</xdr:colOff>
      <xdr:row>1</xdr:row>
      <xdr:rowOff>0</xdr:rowOff>
    </xdr:from>
    <xdr:to>
      <xdr:col>9</xdr:col>
      <xdr:colOff>390525</xdr:colOff>
      <xdr:row>66</xdr:row>
      <xdr:rowOff>171450</xdr:rowOff>
    </xdr:to>
    <xdr:sp macro="" textlink="">
      <xdr:nvSpPr>
        <xdr:cNvPr id="12" name="Rectángulo 1">
          <a:extLst>
            <a:ext uri="{FF2B5EF4-FFF2-40B4-BE49-F238E27FC236}">
              <a16:creationId xmlns="" xmlns:a16="http://schemas.microsoft.com/office/drawing/2014/main" id="{00000000-0008-0000-0000-00000C000000}"/>
            </a:ext>
          </a:extLst>
        </xdr:cNvPr>
        <xdr:cNvSpPr>
          <a:spLocks noChangeArrowheads="1"/>
        </xdr:cNvSpPr>
      </xdr:nvSpPr>
      <xdr:spPr bwMode="auto">
        <a:xfrm>
          <a:off x="5803900" y="190500"/>
          <a:ext cx="2047875" cy="12760325"/>
        </a:xfrm>
        <a:prstGeom prst="rect">
          <a:avLst/>
        </a:prstGeom>
        <a:solidFill>
          <a:srgbClr val="99CC00"/>
        </a:solidFill>
        <a:ln w="12600">
          <a:solidFill>
            <a:srgbClr val="325490"/>
          </a:solidFill>
          <a:miter lim="800000"/>
          <a:headEnd/>
          <a:tailEnd/>
        </a:ln>
      </xdr:spPr>
    </xdr:sp>
    <xdr:clientData/>
  </xdr:twoCellAnchor>
  <xdr:twoCellAnchor>
    <xdr:from>
      <xdr:col>0</xdr:col>
      <xdr:colOff>31750</xdr:colOff>
      <xdr:row>28</xdr:row>
      <xdr:rowOff>79374</xdr:rowOff>
    </xdr:from>
    <xdr:to>
      <xdr:col>8</xdr:col>
      <xdr:colOff>231775</xdr:colOff>
      <xdr:row>38</xdr:row>
      <xdr:rowOff>63499</xdr:rowOff>
    </xdr:to>
    <xdr:sp macro="" textlink="">
      <xdr:nvSpPr>
        <xdr:cNvPr id="13" name="Rectángulo 2">
          <a:extLst>
            <a:ext uri="{FF2B5EF4-FFF2-40B4-BE49-F238E27FC236}">
              <a16:creationId xmlns="" xmlns:a16="http://schemas.microsoft.com/office/drawing/2014/main" id="{00000000-0008-0000-0000-00000D000000}"/>
            </a:ext>
          </a:extLst>
        </xdr:cNvPr>
        <xdr:cNvSpPr>
          <a:spLocks noChangeArrowheads="1"/>
        </xdr:cNvSpPr>
      </xdr:nvSpPr>
      <xdr:spPr bwMode="auto">
        <a:xfrm>
          <a:off x="31750" y="5619749"/>
          <a:ext cx="6899275" cy="1889125"/>
        </a:xfrm>
        <a:prstGeom prst="rect">
          <a:avLst/>
        </a:prstGeom>
        <a:solidFill>
          <a:srgbClr val="4472C4"/>
        </a:solidFill>
        <a:ln w="12600">
          <a:solidFill>
            <a:srgbClr val="325490"/>
          </a:solidFill>
          <a:miter lim="800000"/>
          <a:headEnd/>
          <a:tailEnd/>
        </a:ln>
      </xdr:spPr>
    </xdr:sp>
    <xdr:clientData/>
  </xdr:twoCellAnchor>
  <xdr:twoCellAnchor>
    <xdr:from>
      <xdr:col>7</xdr:col>
      <xdr:colOff>226218</xdr:colOff>
      <xdr:row>8</xdr:row>
      <xdr:rowOff>38100</xdr:rowOff>
    </xdr:from>
    <xdr:to>
      <xdr:col>9</xdr:col>
      <xdr:colOff>130968</xdr:colOff>
      <xdr:row>11</xdr:row>
      <xdr:rowOff>57150</xdr:rowOff>
    </xdr:to>
    <xdr:sp macro="" textlink="" fLocksText="0">
      <xdr:nvSpPr>
        <xdr:cNvPr id="14" name="CuadroTexto 3">
          <a:extLst>
            <a:ext uri="{FF2B5EF4-FFF2-40B4-BE49-F238E27FC236}">
              <a16:creationId xmlns="" xmlns:a16="http://schemas.microsoft.com/office/drawing/2014/main" id="{00000000-0008-0000-0000-00000E000000}"/>
            </a:ext>
          </a:extLst>
        </xdr:cNvPr>
        <xdr:cNvSpPr>
          <a:spLocks noChangeArrowheads="1"/>
        </xdr:cNvSpPr>
      </xdr:nvSpPr>
      <xdr:spPr bwMode="auto">
        <a:xfrm>
          <a:off x="6163468" y="1562100"/>
          <a:ext cx="1428750" cy="590550"/>
        </a:xfrm>
        <a:prstGeom prst="rect">
          <a:avLst/>
        </a:prstGeom>
        <a:noFill/>
        <a:ln w="9360" cap="flat">
          <a:noFill/>
          <a:round/>
          <a:headEnd/>
          <a:tailEnd/>
        </a:ln>
        <a:effectLst/>
      </xdr:spPr>
      <xdr:txBody>
        <a:bodyPr vertOverflow="clip" wrap="square" lIns="90000" tIns="45000" rIns="90000" bIns="45000" anchor="t" upright="1"/>
        <a:lstStyle/>
        <a:p>
          <a:pPr algn="l" rtl="0">
            <a:defRPr sz="1000"/>
          </a:pPr>
          <a:r>
            <a:rPr lang="en-US" sz="4400" b="0" i="0" strike="noStrike">
              <a:solidFill>
                <a:srgbClr val="000000"/>
              </a:solidFill>
              <a:latin typeface="Times New Roman"/>
              <a:cs typeface="Times New Roman"/>
            </a:rPr>
            <a:t>2021</a:t>
          </a:r>
        </a:p>
      </xdr:txBody>
    </xdr:sp>
    <xdr:clientData/>
  </xdr:twoCellAnchor>
  <xdr:twoCellAnchor>
    <xdr:from>
      <xdr:col>1</xdr:col>
      <xdr:colOff>1012833</xdr:colOff>
      <xdr:row>2</xdr:row>
      <xdr:rowOff>9525</xdr:rowOff>
    </xdr:from>
    <xdr:to>
      <xdr:col>4</xdr:col>
      <xdr:colOff>427046</xdr:colOff>
      <xdr:row>11</xdr:row>
      <xdr:rowOff>312964</xdr:rowOff>
    </xdr:to>
    <xdr:pic>
      <xdr:nvPicPr>
        <xdr:cNvPr id="15" name="Picture 2">
          <a:extLst>
            <a:ext uri="{FF2B5EF4-FFF2-40B4-BE49-F238E27FC236}">
              <a16:creationId xmlns=""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srcRect b="15402"/>
        <a:stretch>
          <a:fillRect/>
        </a:stretch>
      </xdr:blipFill>
      <xdr:spPr bwMode="auto">
        <a:xfrm>
          <a:off x="1774833" y="390525"/>
          <a:ext cx="2312534" cy="2017939"/>
        </a:xfrm>
        <a:prstGeom prst="rect">
          <a:avLst/>
        </a:prstGeom>
        <a:noFill/>
        <a:ln w="9525">
          <a:noFill/>
          <a:miter lim="800000"/>
          <a:headEnd/>
          <a:tailEnd/>
        </a:ln>
      </xdr:spPr>
    </xdr:pic>
    <xdr:clientData/>
  </xdr:twoCellAnchor>
  <xdr:twoCellAnchor>
    <xdr:from>
      <xdr:col>0</xdr:col>
      <xdr:colOff>95250</xdr:colOff>
      <xdr:row>29</xdr:row>
      <xdr:rowOff>50800</xdr:rowOff>
    </xdr:from>
    <xdr:to>
      <xdr:col>8</xdr:col>
      <xdr:colOff>114300</xdr:colOff>
      <xdr:row>37</xdr:row>
      <xdr:rowOff>127000</xdr:rowOff>
    </xdr:to>
    <xdr:sp macro="" textlink="" fLocksText="0">
      <xdr:nvSpPr>
        <xdr:cNvPr id="16" name="CuadroTexto 5">
          <a:extLst>
            <a:ext uri="{FF2B5EF4-FFF2-40B4-BE49-F238E27FC236}">
              <a16:creationId xmlns="" xmlns:a16="http://schemas.microsoft.com/office/drawing/2014/main" id="{00000000-0008-0000-0000-000010000000}"/>
            </a:ext>
          </a:extLst>
        </xdr:cNvPr>
        <xdr:cNvSpPr>
          <a:spLocks noChangeArrowheads="1"/>
        </xdr:cNvSpPr>
      </xdr:nvSpPr>
      <xdr:spPr bwMode="auto">
        <a:xfrm>
          <a:off x="95250" y="5781675"/>
          <a:ext cx="6718300" cy="1600200"/>
        </a:xfrm>
        <a:prstGeom prst="rect">
          <a:avLst/>
        </a:prstGeom>
        <a:noFill/>
        <a:ln w="9360" cap="flat">
          <a:noFill/>
          <a:round/>
          <a:headEnd/>
          <a:tailEnd/>
        </a:ln>
        <a:effectLst/>
      </xdr:spPr>
      <xdr:txBody>
        <a:bodyPr vertOverflow="clip" wrap="square" lIns="90000" tIns="45000" rIns="90000" bIns="45000" anchor="ctr" upright="1"/>
        <a:lstStyle/>
        <a:p>
          <a:pPr algn="ctr" rtl="0">
            <a:defRPr sz="1000"/>
          </a:pPr>
          <a:r>
            <a:rPr lang="en-US" sz="3200" b="0" i="0" strike="noStrike">
              <a:solidFill>
                <a:srgbClr val="000000"/>
              </a:solidFill>
              <a:latin typeface="Times New Roman"/>
              <a:cs typeface="Times New Roman"/>
            </a:rPr>
            <a:t>Informe de Ejecución 4to Trimestre (POA) 2021</a:t>
          </a:r>
        </a:p>
      </xdr:txBody>
    </xdr:sp>
    <xdr:clientData/>
  </xdr:twoCellAnchor>
  <mc:AlternateContent xmlns:mc="http://schemas.openxmlformats.org/markup-compatibility/2006">
    <mc:Choice xmlns:a14="http://schemas.microsoft.com/office/drawing/2010/main" Requires="a14">
      <xdr:twoCellAnchor>
        <xdr:from>
          <xdr:col>10</xdr:col>
          <xdr:colOff>38100</xdr:colOff>
          <xdr:row>0</xdr:row>
          <xdr:rowOff>123825</xdr:rowOff>
        </xdr:from>
        <xdr:to>
          <xdr:col>12</xdr:col>
          <xdr:colOff>47625</xdr:colOff>
          <xdr:row>2</xdr:row>
          <xdr:rowOff>161925</xdr:rowOff>
        </xdr:to>
        <xdr:sp macro="" textlink="">
          <xdr:nvSpPr>
            <xdr:cNvPr id="1025" name="Button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DO" sz="1100" b="0" i="0" u="none" strike="noStrike" baseline="0">
                  <a:solidFill>
                    <a:srgbClr val="000000"/>
                  </a:solidFill>
                  <a:latin typeface="Calibri"/>
                  <a:cs typeface="Calibri"/>
                </a:rPr>
                <a:t>Limpiar Documento</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A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2222500</xdr:colOff>
      <xdr:row>0</xdr:row>
      <xdr:rowOff>682625</xdr:rowOff>
    </xdr:from>
    <xdr:to>
      <xdr:col>8</xdr:col>
      <xdr:colOff>17375</xdr:colOff>
      <xdr:row>4</xdr:row>
      <xdr:rowOff>492125</xdr:rowOff>
    </xdr:to>
    <xdr:pic>
      <xdr:nvPicPr>
        <xdr:cNvPr id="4" name="Picture 2">
          <a:extLst>
            <a:ext uri="{FF2B5EF4-FFF2-40B4-BE49-F238E27FC236}">
              <a16:creationId xmlns=""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1001375" y="682625"/>
          <a:ext cx="3240000" cy="2746375"/>
        </a:xfrm>
        <a:prstGeom prst="rect">
          <a:avLst/>
        </a:prstGeom>
        <a:noFill/>
        <a:ln w="1">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B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2762250</xdr:colOff>
      <xdr:row>0</xdr:row>
      <xdr:rowOff>682625</xdr:rowOff>
    </xdr:from>
    <xdr:to>
      <xdr:col>8</xdr:col>
      <xdr:colOff>731750</xdr:colOff>
      <xdr:row>4</xdr:row>
      <xdr:rowOff>492125</xdr:rowOff>
    </xdr:to>
    <xdr:pic>
      <xdr:nvPicPr>
        <xdr:cNvPr id="4" name="Picture 2">
          <a:extLst>
            <a:ext uri="{FF2B5EF4-FFF2-40B4-BE49-F238E27FC236}">
              <a16:creationId xmlns=""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1207750" y="682625"/>
          <a:ext cx="3240000" cy="2746375"/>
        </a:xfrm>
        <a:prstGeom prst="rect">
          <a:avLst/>
        </a:prstGeom>
        <a:noFill/>
        <a:ln w="1">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C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3238500</xdr:colOff>
      <xdr:row>0</xdr:row>
      <xdr:rowOff>698500</xdr:rowOff>
    </xdr:from>
    <xdr:to>
      <xdr:col>8</xdr:col>
      <xdr:colOff>255500</xdr:colOff>
      <xdr:row>4</xdr:row>
      <xdr:rowOff>508000</xdr:rowOff>
    </xdr:to>
    <xdr:pic>
      <xdr:nvPicPr>
        <xdr:cNvPr id="4" name="Picture 2">
          <a:extLst>
            <a:ext uri="{FF2B5EF4-FFF2-40B4-BE49-F238E27FC236}">
              <a16:creationId xmlns=""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2001500" y="698500"/>
          <a:ext cx="3240000" cy="2746375"/>
        </a:xfrm>
        <a:prstGeom prst="rect">
          <a:avLst/>
        </a:prstGeom>
        <a:noFill/>
        <a:ln w="1">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D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2397125</xdr:colOff>
      <xdr:row>0</xdr:row>
      <xdr:rowOff>698500</xdr:rowOff>
    </xdr:from>
    <xdr:to>
      <xdr:col>8</xdr:col>
      <xdr:colOff>1049250</xdr:colOff>
      <xdr:row>4</xdr:row>
      <xdr:rowOff>508000</xdr:rowOff>
    </xdr:to>
    <xdr:pic>
      <xdr:nvPicPr>
        <xdr:cNvPr id="4" name="Picture 2">
          <a:extLst>
            <a:ext uri="{FF2B5EF4-FFF2-40B4-BE49-F238E27FC236}">
              <a16:creationId xmlns=""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715625" y="698500"/>
          <a:ext cx="3240000" cy="2746375"/>
        </a:xfrm>
        <a:prstGeom prst="rect">
          <a:avLst/>
        </a:prstGeom>
        <a:noFill/>
        <a:ln w="1">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E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6</xdr:col>
      <xdr:colOff>47625</xdr:colOff>
      <xdr:row>0</xdr:row>
      <xdr:rowOff>698500</xdr:rowOff>
    </xdr:from>
    <xdr:to>
      <xdr:col>9</xdr:col>
      <xdr:colOff>49125</xdr:colOff>
      <xdr:row>4</xdr:row>
      <xdr:rowOff>508000</xdr:rowOff>
    </xdr:to>
    <xdr:pic>
      <xdr:nvPicPr>
        <xdr:cNvPr id="4" name="Picture 2">
          <a:extLst>
            <a:ext uri="{FF2B5EF4-FFF2-40B4-BE49-F238E27FC236}">
              <a16:creationId xmlns=""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826750" y="698500"/>
          <a:ext cx="3240000" cy="2746375"/>
        </a:xfrm>
        <a:prstGeom prst="rect">
          <a:avLst/>
        </a:prstGeom>
        <a:noFill/>
        <a:ln w="1">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F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2365375</xdr:colOff>
      <xdr:row>0</xdr:row>
      <xdr:rowOff>698500</xdr:rowOff>
    </xdr:from>
    <xdr:to>
      <xdr:col>8</xdr:col>
      <xdr:colOff>1112750</xdr:colOff>
      <xdr:row>4</xdr:row>
      <xdr:rowOff>508000</xdr:rowOff>
    </xdr:to>
    <xdr:pic>
      <xdr:nvPicPr>
        <xdr:cNvPr id="4" name="Picture 2">
          <a:extLst>
            <a:ext uri="{FF2B5EF4-FFF2-40B4-BE49-F238E27FC236}">
              <a16:creationId xmlns="" xmlns:a16="http://schemas.microsoft.com/office/drawing/2014/main" id="{00000000-0008-0000-0F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683875" y="698500"/>
          <a:ext cx="3240000" cy="2746375"/>
        </a:xfrm>
        <a:prstGeom prst="rect">
          <a:avLst/>
        </a:prstGeom>
        <a:noFill/>
        <a:ln w="1">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10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2270125</xdr:colOff>
      <xdr:row>0</xdr:row>
      <xdr:rowOff>698500</xdr:rowOff>
    </xdr:from>
    <xdr:to>
      <xdr:col>8</xdr:col>
      <xdr:colOff>588875</xdr:colOff>
      <xdr:row>4</xdr:row>
      <xdr:rowOff>508000</xdr:rowOff>
    </xdr:to>
    <xdr:pic>
      <xdr:nvPicPr>
        <xdr:cNvPr id="4" name="Picture 2">
          <a:extLst>
            <a:ext uri="{FF2B5EF4-FFF2-40B4-BE49-F238E27FC236}">
              <a16:creationId xmlns="" xmlns:a16="http://schemas.microsoft.com/office/drawing/2014/main" id="{00000000-0008-0000-10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985500" y="698500"/>
          <a:ext cx="3240000" cy="2746375"/>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40159" y="10886"/>
          <a:ext cx="1421946"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3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2285250</xdr:colOff>
      <xdr:row>0</xdr:row>
      <xdr:rowOff>650875</xdr:rowOff>
    </xdr:from>
    <xdr:to>
      <xdr:col>8</xdr:col>
      <xdr:colOff>905625</xdr:colOff>
      <xdr:row>4</xdr:row>
      <xdr:rowOff>460375</xdr:rowOff>
    </xdr:to>
    <xdr:pic>
      <xdr:nvPicPr>
        <xdr:cNvPr id="6" name="Picture 2">
          <a:extLst>
            <a:ext uri="{FF2B5EF4-FFF2-40B4-BE49-F238E27FC236}">
              <a16:creationId xmlns="" xmlns:a16="http://schemas.microsoft.com/office/drawing/2014/main" id="{00000000-0008-0000-0300-000006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603750" y="650875"/>
          <a:ext cx="3240000" cy="2746375"/>
        </a:xfrm>
        <a:prstGeom prst="rect">
          <a:avLst/>
        </a:prstGeom>
        <a:noFill/>
        <a:ln w="1">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4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6</xdr:col>
      <xdr:colOff>111125</xdr:colOff>
      <xdr:row>0</xdr:row>
      <xdr:rowOff>635000</xdr:rowOff>
    </xdr:from>
    <xdr:to>
      <xdr:col>9</xdr:col>
      <xdr:colOff>112625</xdr:colOff>
      <xdr:row>4</xdr:row>
      <xdr:rowOff>444500</xdr:rowOff>
    </xdr:to>
    <xdr:pic>
      <xdr:nvPicPr>
        <xdr:cNvPr id="5" name="Picture 2">
          <a:extLst>
            <a:ext uri="{FF2B5EF4-FFF2-40B4-BE49-F238E27FC236}">
              <a16:creationId xmlns="" xmlns:a16="http://schemas.microsoft.com/office/drawing/2014/main" id="{00000000-0008-0000-0400-000005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287000" y="635000"/>
          <a:ext cx="3240000" cy="2746375"/>
        </a:xfrm>
        <a:prstGeom prst="rect">
          <a:avLst/>
        </a:prstGeom>
        <a:noFill/>
        <a:ln w="1">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5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2286000</xdr:colOff>
      <xdr:row>0</xdr:row>
      <xdr:rowOff>682625</xdr:rowOff>
    </xdr:from>
    <xdr:to>
      <xdr:col>8</xdr:col>
      <xdr:colOff>811125</xdr:colOff>
      <xdr:row>4</xdr:row>
      <xdr:rowOff>492125</xdr:rowOff>
    </xdr:to>
    <xdr:pic>
      <xdr:nvPicPr>
        <xdr:cNvPr id="4" name="Picture 2">
          <a:extLst>
            <a:ext uri="{FF2B5EF4-FFF2-40B4-BE49-F238E27FC236}">
              <a16:creationId xmlns=""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604500" y="682625"/>
          <a:ext cx="3240000" cy="2746375"/>
        </a:xfrm>
        <a:prstGeom prst="rect">
          <a:avLst/>
        </a:prstGeom>
        <a:noFill/>
        <a:ln w="1">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6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6</xdr:col>
      <xdr:colOff>841375</xdr:colOff>
      <xdr:row>0</xdr:row>
      <xdr:rowOff>682625</xdr:rowOff>
    </xdr:from>
    <xdr:to>
      <xdr:col>8</xdr:col>
      <xdr:colOff>969875</xdr:colOff>
      <xdr:row>4</xdr:row>
      <xdr:rowOff>492125</xdr:rowOff>
    </xdr:to>
    <xdr:pic>
      <xdr:nvPicPr>
        <xdr:cNvPr id="4" name="Picture 2">
          <a:extLst>
            <a:ext uri="{FF2B5EF4-FFF2-40B4-BE49-F238E27FC236}">
              <a16:creationId xmlns=""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2112625" y="682625"/>
          <a:ext cx="3240000" cy="2746375"/>
        </a:xfrm>
        <a:prstGeom prst="rect">
          <a:avLst/>
        </a:prstGeom>
        <a:noFill/>
        <a:ln w="1">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7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2492375</xdr:colOff>
      <xdr:row>0</xdr:row>
      <xdr:rowOff>682625</xdr:rowOff>
    </xdr:from>
    <xdr:to>
      <xdr:col>8</xdr:col>
      <xdr:colOff>874625</xdr:colOff>
      <xdr:row>4</xdr:row>
      <xdr:rowOff>492125</xdr:rowOff>
    </xdr:to>
    <xdr:pic>
      <xdr:nvPicPr>
        <xdr:cNvPr id="4" name="Picture 2">
          <a:extLst>
            <a:ext uri="{FF2B5EF4-FFF2-40B4-BE49-F238E27FC236}">
              <a16:creationId xmlns=""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810875" y="682625"/>
          <a:ext cx="3240000" cy="2746375"/>
        </a:xfrm>
        <a:prstGeom prst="rect">
          <a:avLst/>
        </a:prstGeom>
        <a:noFill/>
        <a:ln w="1">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8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3016250</xdr:colOff>
      <xdr:row>0</xdr:row>
      <xdr:rowOff>698500</xdr:rowOff>
    </xdr:from>
    <xdr:to>
      <xdr:col>8</xdr:col>
      <xdr:colOff>668250</xdr:colOff>
      <xdr:row>4</xdr:row>
      <xdr:rowOff>508000</xdr:rowOff>
    </xdr:to>
    <xdr:pic>
      <xdr:nvPicPr>
        <xdr:cNvPr id="4" name="Picture 2">
          <a:extLst>
            <a:ext uri="{FF2B5EF4-FFF2-40B4-BE49-F238E27FC236}">
              <a16:creationId xmlns=""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1334750" y="698500"/>
          <a:ext cx="3240000" cy="2746375"/>
        </a:xfrm>
        <a:prstGeom prst="rect">
          <a:avLst/>
        </a:prstGeom>
        <a:noFill/>
        <a:ln w="1">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1666875</xdr:colOff>
      <xdr:row>0</xdr:row>
      <xdr:rowOff>1190625</xdr:rowOff>
    </xdr:to>
    <xdr:sp macro="" textlink="">
      <xdr:nvSpPr>
        <xdr:cNvPr id="3" name="2 Rectángulo">
          <a:hlinkClick xmlns:r="http://schemas.openxmlformats.org/officeDocument/2006/relationships" r:id="rId1"/>
          <a:extLst>
            <a:ext uri="{FF2B5EF4-FFF2-40B4-BE49-F238E27FC236}">
              <a16:creationId xmlns="" xmlns:a16="http://schemas.microsoft.com/office/drawing/2014/main" id="{00000000-0008-0000-0900-000003000000}"/>
            </a:ext>
          </a:extLst>
        </xdr:cNvPr>
        <xdr:cNvSpPr/>
      </xdr:nvSpPr>
      <xdr:spPr>
        <a:xfrm>
          <a:off x="0" y="0"/>
          <a:ext cx="4127500" cy="11906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400" b="1"/>
            <a:t>Volver</a:t>
          </a:r>
          <a:r>
            <a:rPr lang="en-US" sz="2400" b="1" baseline="0"/>
            <a:t> al menú de contenido</a:t>
          </a:r>
          <a:endParaRPr lang="en-US" sz="2400" b="1"/>
        </a:p>
      </xdr:txBody>
    </xdr:sp>
    <xdr:clientData/>
  </xdr:twoCellAnchor>
  <xdr:twoCellAnchor editAs="oneCell">
    <xdr:from>
      <xdr:col>5</xdr:col>
      <xdr:colOff>2524125</xdr:colOff>
      <xdr:row>0</xdr:row>
      <xdr:rowOff>682625</xdr:rowOff>
    </xdr:from>
    <xdr:to>
      <xdr:col>8</xdr:col>
      <xdr:colOff>811125</xdr:colOff>
      <xdr:row>4</xdr:row>
      <xdr:rowOff>492125</xdr:rowOff>
    </xdr:to>
    <xdr:pic>
      <xdr:nvPicPr>
        <xdr:cNvPr id="4" name="Picture 2">
          <a:extLst>
            <a:ext uri="{FF2B5EF4-FFF2-40B4-BE49-F238E27FC236}">
              <a16:creationId xmlns="" xmlns:a16="http://schemas.microsoft.com/office/drawing/2014/main" id="{00000000-0008-0000-0900-000004000000}"/>
            </a:ext>
          </a:extLst>
        </xdr:cNvPr>
        <xdr:cNvPicPr preferRelativeResize="0">
          <a:picLocks noChangeArrowheads="1"/>
        </xdr:cNvPicPr>
      </xdr:nvPicPr>
      <xdr:blipFill>
        <a:blip xmlns:r="http://schemas.openxmlformats.org/officeDocument/2006/relationships" r:embed="rId2"/>
        <a:srcRect b="12211"/>
        <a:stretch>
          <a:fillRect/>
        </a:stretch>
      </xdr:blipFill>
      <xdr:spPr bwMode="auto">
        <a:xfrm>
          <a:off x="10842625" y="682625"/>
          <a:ext cx="3240000" cy="2746375"/>
        </a:xfrm>
        <a:prstGeom prst="rect">
          <a:avLst/>
        </a:prstGeom>
        <a:noFill/>
        <a:ln w="1">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G24"/>
  <sheetViews>
    <sheetView showGridLines="0" tabSelected="1" zoomScale="60" zoomScaleNormal="60" workbookViewId="0"/>
  </sheetViews>
  <sheetFormatPr baseColWidth="10" defaultRowHeight="15" x14ac:dyDescent="0.25"/>
  <cols>
    <col min="1" max="1" width="11.42578125" style="2"/>
    <col min="2" max="2" width="20.5703125" style="2" customWidth="1"/>
    <col min="3" max="16384" width="11.42578125" style="2"/>
  </cols>
  <sheetData>
    <row r="1" spans="1:7" x14ac:dyDescent="0.25">
      <c r="A1" s="1" t="s">
        <v>0</v>
      </c>
      <c r="B1" s="2" t="s">
        <v>908</v>
      </c>
    </row>
    <row r="12" spans="1:7" ht="31.5" x14ac:dyDescent="0.25">
      <c r="A12" s="3"/>
      <c r="B12" s="3"/>
      <c r="C12" s="3"/>
      <c r="D12" s="3"/>
      <c r="E12" s="3"/>
      <c r="F12" s="3"/>
      <c r="G12" s="3"/>
    </row>
    <row r="13" spans="1:7" x14ac:dyDescent="0.25">
      <c r="A13" s="174" t="s">
        <v>1</v>
      </c>
      <c r="B13" s="174"/>
      <c r="C13" s="174"/>
      <c r="D13" s="174"/>
      <c r="E13" s="174"/>
      <c r="F13" s="174"/>
      <c r="G13" s="174"/>
    </row>
    <row r="14" spans="1:7" x14ac:dyDescent="0.25">
      <c r="A14" s="174"/>
      <c r="B14" s="174"/>
      <c r="C14" s="174"/>
      <c r="D14" s="174"/>
      <c r="E14" s="174"/>
      <c r="F14" s="174"/>
      <c r="G14" s="174"/>
    </row>
    <row r="22" spans="1:7" x14ac:dyDescent="0.25">
      <c r="A22" s="174" t="s">
        <v>2</v>
      </c>
      <c r="B22" s="174"/>
      <c r="C22" s="174"/>
      <c r="D22" s="174"/>
      <c r="E22" s="174"/>
      <c r="F22" s="174"/>
      <c r="G22" s="174"/>
    </row>
    <row r="23" spans="1:7" x14ac:dyDescent="0.25">
      <c r="A23" s="174"/>
      <c r="B23" s="174"/>
      <c r="C23" s="174"/>
      <c r="D23" s="174"/>
      <c r="E23" s="174"/>
      <c r="F23" s="174"/>
      <c r="G23" s="174"/>
    </row>
    <row r="24" spans="1:7" x14ac:dyDescent="0.25">
      <c r="A24" s="174"/>
      <c r="B24" s="174"/>
      <c r="C24" s="174"/>
      <c r="D24" s="174"/>
      <c r="E24" s="174"/>
      <c r="F24" s="174"/>
      <c r="G24" s="174"/>
    </row>
  </sheetData>
  <mergeCells count="2">
    <mergeCell ref="A13:G14"/>
    <mergeCell ref="A22:G24"/>
  </mergeCells>
  <dataValidations count="1">
    <dataValidation type="list" allowBlank="1" showInputMessage="1" showErrorMessage="1" sqref="B1 IX1 ST1 ACP1 AML1 AWH1 BGD1 BPZ1 BZV1 CJR1 CTN1 DDJ1 DNF1 DXB1 EGX1 EQT1 FAP1 FKL1 FUH1 GED1 GNZ1 GXV1 HHR1 HRN1 IBJ1 ILF1 IVB1 JEX1 JOT1 JYP1 KIL1 KSH1 LCD1 LLZ1 LVV1 MFR1 MPN1 MZJ1 NJF1 NTB1 OCX1 OMT1 OWP1 PGL1 PQH1 QAD1 QJZ1 QTV1 RDR1 RNN1 RXJ1 SHF1 SRB1 TAX1 TKT1 TUP1 UEL1 UOH1 UYD1 VHZ1 VRV1 WBR1 WLN1 WVJ1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formula1>"Primer Trimestre,Segundo Trimestre,Tercer Trimestre,Cuarto Trimestre"</formula1>
    </dataValidation>
  </dataValidations>
  <pageMargins left="0.7" right="0.7" top="0.75" bottom="0.75" header="0.3" footer="0.3"/>
  <pageSetup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LimpiarDocumento">
                <anchor moveWithCells="1" sizeWithCells="1">
                  <from>
                    <xdr:col>10</xdr:col>
                    <xdr:colOff>38100</xdr:colOff>
                    <xdr:row>0</xdr:row>
                    <xdr:rowOff>123825</xdr:rowOff>
                  </from>
                  <to>
                    <xdr:col>12</xdr:col>
                    <xdr:colOff>47625</xdr:colOff>
                    <xdr:row>2</xdr:row>
                    <xdr:rowOff>161925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P44"/>
  <sheetViews>
    <sheetView showGridLines="0" view="pageBreakPreview" zoomScale="20" zoomScaleNormal="40" zoomScaleSheetLayoutView="20" workbookViewId="0"/>
  </sheetViews>
  <sheetFormatPr baseColWidth="10" defaultColWidth="11.42578125" defaultRowHeight="15" x14ac:dyDescent="0.25"/>
  <cols>
    <col min="1" max="1" width="36.85546875" style="10" customWidth="1"/>
    <col min="2" max="2" width="25.7109375" style="10" customWidth="1"/>
    <col min="3" max="3" width="27.5703125" style="10" customWidth="1"/>
    <col min="4" max="5" width="20.7109375" style="10" customWidth="1"/>
    <col min="6" max="6" width="50.285156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19.85546875" style="10" customWidth="1"/>
    <col min="15" max="15" width="29.570312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95</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83" t="s">
        <v>463</v>
      </c>
      <c r="B16" s="168" t="s">
        <v>464</v>
      </c>
      <c r="C16" s="26" t="s">
        <v>465</v>
      </c>
      <c r="D16" s="20">
        <v>12</v>
      </c>
      <c r="E16" s="23" t="s">
        <v>37</v>
      </c>
      <c r="F16" s="60" t="s">
        <v>466</v>
      </c>
      <c r="G16" s="155">
        <v>0</v>
      </c>
      <c r="H16" s="155">
        <v>0</v>
      </c>
      <c r="I16" s="156">
        <v>2</v>
      </c>
      <c r="J16" s="156">
        <f>+SUM(G16:I16)</f>
        <v>2</v>
      </c>
      <c r="K16" s="13">
        <f>+IFERROR(J16/D16,"-")</f>
        <v>0.16666666666666666</v>
      </c>
      <c r="L16" s="13">
        <f>+K16+0%</f>
        <v>0.16666666666666666</v>
      </c>
      <c r="M16" s="26" t="s">
        <v>515</v>
      </c>
      <c r="N16" s="64" t="s">
        <v>516</v>
      </c>
      <c r="O16" s="60" t="s">
        <v>517</v>
      </c>
      <c r="P16" s="26"/>
    </row>
    <row r="17" spans="1:16" ht="99.95" customHeight="1" thickBot="1" x14ac:dyDescent="0.3">
      <c r="A17" s="283"/>
      <c r="B17" s="168" t="s">
        <v>467</v>
      </c>
      <c r="C17" s="26" t="s">
        <v>465</v>
      </c>
      <c r="D17" s="22">
        <v>12</v>
      </c>
      <c r="E17" s="23" t="s">
        <v>37</v>
      </c>
      <c r="F17" s="60" t="s">
        <v>466</v>
      </c>
      <c r="G17" s="155">
        <v>0</v>
      </c>
      <c r="H17" s="155">
        <v>0</v>
      </c>
      <c r="I17" s="156">
        <v>2</v>
      </c>
      <c r="J17" s="156">
        <f t="shared" ref="J17:J32" si="0">+SUM(G17:I17)</f>
        <v>2</v>
      </c>
      <c r="K17" s="13">
        <f t="shared" ref="K17:K32" si="1">+IFERROR(J17/D17,"-")</f>
        <v>0.16666666666666666</v>
      </c>
      <c r="L17" s="13">
        <f>+K17+0%</f>
        <v>0.16666666666666666</v>
      </c>
      <c r="M17" s="26" t="s">
        <v>515</v>
      </c>
      <c r="N17" s="64" t="s">
        <v>516</v>
      </c>
      <c r="O17" s="60" t="s">
        <v>517</v>
      </c>
      <c r="P17" s="26"/>
    </row>
    <row r="18" spans="1:16" ht="176.25" customHeight="1" thickBot="1" x14ac:dyDescent="0.3">
      <c r="A18" s="26" t="s">
        <v>468</v>
      </c>
      <c r="B18" s="26" t="s">
        <v>469</v>
      </c>
      <c r="C18" s="26" t="s">
        <v>470</v>
      </c>
      <c r="D18" s="24">
        <v>4764</v>
      </c>
      <c r="E18" s="23" t="s">
        <v>37</v>
      </c>
      <c r="F18" s="60" t="s">
        <v>471</v>
      </c>
      <c r="G18" s="155">
        <v>455</v>
      </c>
      <c r="H18" s="155">
        <v>619</v>
      </c>
      <c r="I18" s="156">
        <v>510</v>
      </c>
      <c r="J18" s="156">
        <f t="shared" si="0"/>
        <v>1584</v>
      </c>
      <c r="K18" s="13">
        <f t="shared" si="1"/>
        <v>0.33249370277078083</v>
      </c>
      <c r="L18" s="13">
        <f>+K18+108.627204030227%</f>
        <v>1.4187657430730509</v>
      </c>
      <c r="M18" s="26" t="s">
        <v>518</v>
      </c>
      <c r="N18" s="64" t="s">
        <v>516</v>
      </c>
      <c r="O18" s="60" t="s">
        <v>519</v>
      </c>
      <c r="P18" s="26"/>
    </row>
    <row r="19" spans="1:16" ht="99.95" customHeight="1" thickBot="1" x14ac:dyDescent="0.3">
      <c r="A19" s="284" t="s">
        <v>472</v>
      </c>
      <c r="B19" s="26" t="s">
        <v>473</v>
      </c>
      <c r="C19" s="26" t="s">
        <v>474</v>
      </c>
      <c r="D19" s="25">
        <v>24</v>
      </c>
      <c r="E19" s="23" t="s">
        <v>37</v>
      </c>
      <c r="F19" s="60" t="s">
        <v>475</v>
      </c>
      <c r="G19" s="155">
        <v>0</v>
      </c>
      <c r="H19" s="155">
        <v>1</v>
      </c>
      <c r="I19" s="156">
        <v>1</v>
      </c>
      <c r="J19" s="156">
        <f t="shared" si="0"/>
        <v>2</v>
      </c>
      <c r="K19" s="13">
        <f t="shared" si="1"/>
        <v>8.3333333333333329E-2</v>
      </c>
      <c r="L19" s="13">
        <f>+K19+41.6666666666667%</f>
        <v>0.50000000000000033</v>
      </c>
      <c r="M19" s="26" t="s">
        <v>520</v>
      </c>
      <c r="N19" s="64" t="s">
        <v>429</v>
      </c>
      <c r="O19" s="60" t="s">
        <v>521</v>
      </c>
      <c r="P19" s="26"/>
    </row>
    <row r="20" spans="1:16" ht="99.95" customHeight="1" thickBot="1" x14ac:dyDescent="0.3">
      <c r="A20" s="289"/>
      <c r="B20" s="26" t="s">
        <v>476</v>
      </c>
      <c r="C20" s="26" t="s">
        <v>477</v>
      </c>
      <c r="D20" s="24">
        <v>1</v>
      </c>
      <c r="E20" s="23" t="s">
        <v>37</v>
      </c>
      <c r="F20" s="60" t="s">
        <v>478</v>
      </c>
      <c r="G20" s="155">
        <v>0</v>
      </c>
      <c r="H20" s="155">
        <v>0</v>
      </c>
      <c r="I20" s="156">
        <v>1</v>
      </c>
      <c r="J20" s="156">
        <f t="shared" si="0"/>
        <v>1</v>
      </c>
      <c r="K20" s="13">
        <f t="shared" si="1"/>
        <v>1</v>
      </c>
      <c r="L20" s="13">
        <f>+K20+0%</f>
        <v>1</v>
      </c>
      <c r="M20" s="26" t="s">
        <v>520</v>
      </c>
      <c r="N20" s="64" t="s">
        <v>516</v>
      </c>
      <c r="O20" s="60" t="s">
        <v>522</v>
      </c>
      <c r="P20" s="26"/>
    </row>
    <row r="21" spans="1:16" ht="99.95" customHeight="1" thickBot="1" x14ac:dyDescent="0.3">
      <c r="A21" s="289"/>
      <c r="B21" s="168" t="s">
        <v>479</v>
      </c>
      <c r="C21" s="26" t="s">
        <v>480</v>
      </c>
      <c r="D21" s="20">
        <v>600</v>
      </c>
      <c r="E21" s="23" t="s">
        <v>37</v>
      </c>
      <c r="F21" s="60" t="s">
        <v>481</v>
      </c>
      <c r="G21" s="155">
        <v>0</v>
      </c>
      <c r="H21" s="155">
        <v>0</v>
      </c>
      <c r="I21" s="156">
        <v>0</v>
      </c>
      <c r="J21" s="156">
        <f t="shared" si="0"/>
        <v>0</v>
      </c>
      <c r="K21" s="13">
        <f t="shared" si="1"/>
        <v>0</v>
      </c>
      <c r="L21" s="13">
        <f>+K21+0%</f>
        <v>0</v>
      </c>
      <c r="M21" s="26" t="s">
        <v>520</v>
      </c>
      <c r="N21" s="64" t="s">
        <v>424</v>
      </c>
      <c r="O21" s="60" t="s">
        <v>523</v>
      </c>
      <c r="P21" s="26"/>
    </row>
    <row r="22" spans="1:16" ht="99.95" customHeight="1" thickBot="1" x14ac:dyDescent="0.3">
      <c r="A22" s="289"/>
      <c r="B22" s="26" t="s">
        <v>482</v>
      </c>
      <c r="C22" s="26" t="s">
        <v>483</v>
      </c>
      <c r="D22" s="20">
        <v>1694</v>
      </c>
      <c r="E22" s="23" t="s">
        <v>37</v>
      </c>
      <c r="F22" s="60" t="s">
        <v>484</v>
      </c>
      <c r="G22" s="155">
        <v>196</v>
      </c>
      <c r="H22" s="155">
        <v>203</v>
      </c>
      <c r="I22" s="156">
        <v>297</v>
      </c>
      <c r="J22" s="156">
        <f t="shared" si="0"/>
        <v>696</v>
      </c>
      <c r="K22" s="13">
        <f t="shared" si="1"/>
        <v>0.41086186540731995</v>
      </c>
      <c r="L22" s="13">
        <f>+K22+128.099173553719%</f>
        <v>1.69185360094451</v>
      </c>
      <c r="M22" s="26" t="s">
        <v>520</v>
      </c>
      <c r="N22" s="64" t="s">
        <v>429</v>
      </c>
      <c r="O22" s="60" t="s">
        <v>524</v>
      </c>
      <c r="P22" s="26"/>
    </row>
    <row r="23" spans="1:16" ht="124.5" customHeight="1" thickBot="1" x14ac:dyDescent="0.3">
      <c r="A23" s="289"/>
      <c r="B23" s="26" t="s">
        <v>485</v>
      </c>
      <c r="C23" s="26" t="s">
        <v>486</v>
      </c>
      <c r="D23" s="22">
        <v>8730</v>
      </c>
      <c r="E23" s="23" t="s">
        <v>37</v>
      </c>
      <c r="F23" s="60" t="s">
        <v>487</v>
      </c>
      <c r="G23" s="155">
        <v>532</v>
      </c>
      <c r="H23" s="155">
        <v>510</v>
      </c>
      <c r="I23" s="156">
        <v>365</v>
      </c>
      <c r="J23" s="156">
        <f t="shared" si="0"/>
        <v>1407</v>
      </c>
      <c r="K23" s="13">
        <f t="shared" si="1"/>
        <v>0.1611683848797251</v>
      </c>
      <c r="L23" s="13">
        <f>+K23+52.4513172966782%</f>
        <v>0.68568155784650708</v>
      </c>
      <c r="M23" s="26" t="s">
        <v>520</v>
      </c>
      <c r="N23" s="64" t="s">
        <v>424</v>
      </c>
      <c r="O23" s="60" t="s">
        <v>525</v>
      </c>
      <c r="P23" s="26"/>
    </row>
    <row r="24" spans="1:16" ht="99.95" customHeight="1" thickBot="1" x14ac:dyDescent="0.3">
      <c r="A24" s="285"/>
      <c r="B24" s="26" t="s">
        <v>488</v>
      </c>
      <c r="C24" s="26" t="s">
        <v>489</v>
      </c>
      <c r="D24" s="24">
        <v>4</v>
      </c>
      <c r="E24" s="23" t="s">
        <v>37</v>
      </c>
      <c r="F24" s="60" t="s">
        <v>490</v>
      </c>
      <c r="G24" s="155">
        <v>1</v>
      </c>
      <c r="H24" s="155">
        <v>0</v>
      </c>
      <c r="I24" s="156">
        <v>0</v>
      </c>
      <c r="J24" s="156">
        <f t="shared" si="0"/>
        <v>1</v>
      </c>
      <c r="K24" s="13">
        <f t="shared" si="1"/>
        <v>0.25</v>
      </c>
      <c r="L24" s="13">
        <f>+K24+50%</f>
        <v>0.75</v>
      </c>
      <c r="M24" s="26" t="s">
        <v>520</v>
      </c>
      <c r="N24" s="64" t="s">
        <v>526</v>
      </c>
      <c r="O24" s="60" t="s">
        <v>527</v>
      </c>
      <c r="P24" s="26"/>
    </row>
    <row r="25" spans="1:16" ht="99.95" customHeight="1" thickBot="1" x14ac:dyDescent="0.3">
      <c r="A25" s="284" t="s">
        <v>472</v>
      </c>
      <c r="B25" s="26" t="s">
        <v>491</v>
      </c>
      <c r="C25" s="26" t="s">
        <v>492</v>
      </c>
      <c r="D25" s="24">
        <v>37</v>
      </c>
      <c r="E25" s="23" t="s">
        <v>37</v>
      </c>
      <c r="F25" s="60" t="s">
        <v>493</v>
      </c>
      <c r="G25" s="155">
        <v>4</v>
      </c>
      <c r="H25" s="155">
        <v>4</v>
      </c>
      <c r="I25" s="156">
        <v>0</v>
      </c>
      <c r="J25" s="156">
        <f t="shared" si="0"/>
        <v>8</v>
      </c>
      <c r="K25" s="13">
        <f t="shared" si="1"/>
        <v>0.21621621621621623</v>
      </c>
      <c r="L25" s="13">
        <f>+K25+83.7837837837837%</f>
        <v>1.0540540540540533</v>
      </c>
      <c r="M25" s="26" t="s">
        <v>520</v>
      </c>
      <c r="N25" s="64" t="s">
        <v>528</v>
      </c>
      <c r="O25" s="60" t="s">
        <v>529</v>
      </c>
      <c r="P25" s="26"/>
    </row>
    <row r="26" spans="1:16" ht="99.95" customHeight="1" thickBot="1" x14ac:dyDescent="0.3">
      <c r="A26" s="289"/>
      <c r="B26" s="26" t="s">
        <v>494</v>
      </c>
      <c r="C26" s="26" t="s">
        <v>495</v>
      </c>
      <c r="D26" s="24">
        <v>12</v>
      </c>
      <c r="E26" s="23" t="s">
        <v>37</v>
      </c>
      <c r="F26" s="60" t="s">
        <v>496</v>
      </c>
      <c r="G26" s="155">
        <v>1</v>
      </c>
      <c r="H26" s="155">
        <v>1</v>
      </c>
      <c r="I26" s="156">
        <v>1</v>
      </c>
      <c r="J26" s="156">
        <f t="shared" si="0"/>
        <v>3</v>
      </c>
      <c r="K26" s="13">
        <f t="shared" si="1"/>
        <v>0.25</v>
      </c>
      <c r="L26" s="13">
        <f>+K26+75%</f>
        <v>1</v>
      </c>
      <c r="M26" s="26" t="s">
        <v>520</v>
      </c>
      <c r="N26" s="64" t="s">
        <v>429</v>
      </c>
      <c r="O26" s="60" t="s">
        <v>530</v>
      </c>
      <c r="P26" s="26"/>
    </row>
    <row r="27" spans="1:16" ht="99.95" customHeight="1" thickBot="1" x14ac:dyDescent="0.3">
      <c r="A27" s="289"/>
      <c r="B27" s="26" t="s">
        <v>497</v>
      </c>
      <c r="C27" s="26" t="s">
        <v>498</v>
      </c>
      <c r="D27" s="24">
        <v>13</v>
      </c>
      <c r="E27" s="23" t="s">
        <v>37</v>
      </c>
      <c r="F27" s="60" t="s">
        <v>499</v>
      </c>
      <c r="G27" s="155">
        <v>1</v>
      </c>
      <c r="H27" s="155">
        <v>1</v>
      </c>
      <c r="I27" s="156">
        <v>2</v>
      </c>
      <c r="J27" s="156">
        <f t="shared" si="0"/>
        <v>4</v>
      </c>
      <c r="K27" s="13">
        <f t="shared" si="1"/>
        <v>0.30769230769230771</v>
      </c>
      <c r="L27" s="13">
        <f>+K27+69.2307692307693%</f>
        <v>1.0000000000000007</v>
      </c>
      <c r="M27" s="26" t="s">
        <v>520</v>
      </c>
      <c r="N27" s="64" t="s">
        <v>429</v>
      </c>
      <c r="O27" s="60" t="s">
        <v>531</v>
      </c>
      <c r="P27" s="26"/>
    </row>
    <row r="28" spans="1:16" ht="99.95" customHeight="1" thickBot="1" x14ac:dyDescent="0.3">
      <c r="A28" s="289"/>
      <c r="B28" s="26" t="s">
        <v>500</v>
      </c>
      <c r="C28" s="26" t="s">
        <v>501</v>
      </c>
      <c r="D28" s="24">
        <v>700</v>
      </c>
      <c r="E28" s="23" t="s">
        <v>37</v>
      </c>
      <c r="F28" s="60" t="s">
        <v>502</v>
      </c>
      <c r="G28" s="155">
        <v>98</v>
      </c>
      <c r="H28" s="155">
        <v>150</v>
      </c>
      <c r="I28" s="156">
        <v>104</v>
      </c>
      <c r="J28" s="156">
        <f t="shared" si="0"/>
        <v>352</v>
      </c>
      <c r="K28" s="13">
        <f t="shared" si="1"/>
        <v>0.50285714285714289</v>
      </c>
      <c r="L28" s="13">
        <f>+K28+114.142857142857%</f>
        <v>1.6442857142857128</v>
      </c>
      <c r="M28" s="26" t="s">
        <v>520</v>
      </c>
      <c r="N28" s="64" t="s">
        <v>429</v>
      </c>
      <c r="O28" s="60" t="s">
        <v>532</v>
      </c>
      <c r="P28" s="26"/>
    </row>
    <row r="29" spans="1:16" ht="99.95" customHeight="1" thickBot="1" x14ac:dyDescent="0.3">
      <c r="A29" s="289"/>
      <c r="B29" s="26" t="s">
        <v>503</v>
      </c>
      <c r="C29" s="26" t="s">
        <v>504</v>
      </c>
      <c r="D29" s="25">
        <v>4000</v>
      </c>
      <c r="E29" s="23" t="s">
        <v>37</v>
      </c>
      <c r="F29" s="60" t="s">
        <v>505</v>
      </c>
      <c r="G29" s="155">
        <v>493</v>
      </c>
      <c r="H29" s="155">
        <v>559</v>
      </c>
      <c r="I29" s="156">
        <v>534</v>
      </c>
      <c r="J29" s="156">
        <f t="shared" si="0"/>
        <v>1586</v>
      </c>
      <c r="K29" s="13">
        <f t="shared" si="1"/>
        <v>0.39650000000000002</v>
      </c>
      <c r="L29" s="13">
        <f>+K29+89.75%</f>
        <v>1.294</v>
      </c>
      <c r="M29" s="26" t="s">
        <v>520</v>
      </c>
      <c r="N29" s="64" t="s">
        <v>429</v>
      </c>
      <c r="O29" s="60" t="s">
        <v>524</v>
      </c>
      <c r="P29" s="26"/>
    </row>
    <row r="30" spans="1:16" ht="99.95" customHeight="1" thickBot="1" x14ac:dyDescent="0.3">
      <c r="A30" s="289"/>
      <c r="B30" s="26" t="s">
        <v>506</v>
      </c>
      <c r="C30" s="26" t="s">
        <v>507</v>
      </c>
      <c r="D30" s="25">
        <v>13</v>
      </c>
      <c r="E30" s="23" t="s">
        <v>37</v>
      </c>
      <c r="F30" s="60" t="s">
        <v>508</v>
      </c>
      <c r="G30" s="155">
        <v>1</v>
      </c>
      <c r="H30" s="155">
        <v>1</v>
      </c>
      <c r="I30" s="156">
        <v>2</v>
      </c>
      <c r="J30" s="156">
        <f t="shared" si="0"/>
        <v>4</v>
      </c>
      <c r="K30" s="13">
        <f t="shared" si="1"/>
        <v>0.30769230769230771</v>
      </c>
      <c r="L30" s="13">
        <f>+K30+69.2307692307693%</f>
        <v>1.0000000000000007</v>
      </c>
      <c r="M30" s="26" t="s">
        <v>520</v>
      </c>
      <c r="N30" s="64" t="s">
        <v>533</v>
      </c>
      <c r="O30" s="60" t="s">
        <v>524</v>
      </c>
      <c r="P30" s="26"/>
    </row>
    <row r="31" spans="1:16" ht="99.95" customHeight="1" thickBot="1" x14ac:dyDescent="0.3">
      <c r="A31" s="289"/>
      <c r="B31" s="26" t="s">
        <v>509</v>
      </c>
      <c r="C31" s="26" t="s">
        <v>510</v>
      </c>
      <c r="D31" s="25">
        <v>45</v>
      </c>
      <c r="E31" s="23" t="s">
        <v>37</v>
      </c>
      <c r="F31" s="60" t="s">
        <v>511</v>
      </c>
      <c r="G31" s="155">
        <v>5</v>
      </c>
      <c r="H31" s="155">
        <v>2</v>
      </c>
      <c r="I31" s="156">
        <v>1</v>
      </c>
      <c r="J31" s="156">
        <f t="shared" si="0"/>
        <v>8</v>
      </c>
      <c r="K31" s="13">
        <f t="shared" si="1"/>
        <v>0.17777777777777778</v>
      </c>
      <c r="L31" s="13">
        <f>+K31+53.3333333333334%</f>
        <v>0.7111111111111118</v>
      </c>
      <c r="M31" s="26" t="s">
        <v>520</v>
      </c>
      <c r="N31" s="64" t="s">
        <v>534</v>
      </c>
      <c r="O31" s="60" t="s">
        <v>535</v>
      </c>
      <c r="P31" s="26"/>
    </row>
    <row r="32" spans="1:16" ht="99.95" customHeight="1" thickBot="1" x14ac:dyDescent="0.3">
      <c r="A32" s="285"/>
      <c r="B32" s="168" t="s">
        <v>512</v>
      </c>
      <c r="C32" s="26" t="s">
        <v>513</v>
      </c>
      <c r="D32" s="25">
        <v>8</v>
      </c>
      <c r="E32" s="23" t="s">
        <v>37</v>
      </c>
      <c r="F32" s="60" t="s">
        <v>514</v>
      </c>
      <c r="G32" s="155">
        <v>0</v>
      </c>
      <c r="H32" s="155">
        <v>0</v>
      </c>
      <c r="I32" s="156">
        <v>0</v>
      </c>
      <c r="J32" s="156">
        <f t="shared" si="0"/>
        <v>0</v>
      </c>
      <c r="K32" s="13">
        <f t="shared" si="1"/>
        <v>0</v>
      </c>
      <c r="L32" s="13">
        <f>+K32+12.5%</f>
        <v>0.125</v>
      </c>
      <c r="M32" s="26" t="s">
        <v>520</v>
      </c>
      <c r="N32" s="64" t="s">
        <v>534</v>
      </c>
      <c r="O32" s="60" t="s">
        <v>536</v>
      </c>
      <c r="P32" s="26"/>
    </row>
    <row r="33" spans="1:15" x14ac:dyDescent="0.25">
      <c r="A33" s="14"/>
      <c r="B33" s="14"/>
      <c r="C33" s="14"/>
      <c r="D33" s="14"/>
      <c r="E33" s="14"/>
      <c r="F33" s="15"/>
      <c r="G33" s="14"/>
      <c r="H33" s="14"/>
      <c r="I33" s="14"/>
      <c r="J33" s="14"/>
      <c r="K33" s="14"/>
      <c r="L33" s="14"/>
      <c r="M33" s="15"/>
      <c r="N33" s="15"/>
      <c r="O33" s="15"/>
    </row>
    <row r="34" spans="1:15" x14ac:dyDescent="0.25">
      <c r="A34" s="14"/>
      <c r="B34" s="14"/>
      <c r="C34" s="14"/>
      <c r="D34" s="14"/>
      <c r="E34" s="14"/>
      <c r="F34" s="15"/>
      <c r="G34" s="14"/>
      <c r="H34" s="14"/>
      <c r="I34" s="14"/>
      <c r="J34" s="14"/>
      <c r="K34" s="14"/>
      <c r="L34" s="14"/>
      <c r="M34" s="15"/>
      <c r="N34" s="15"/>
      <c r="O34" s="15"/>
    </row>
    <row r="35" spans="1:15" x14ac:dyDescent="0.25">
      <c r="A35" s="14"/>
      <c r="B35" s="14"/>
      <c r="C35" s="14"/>
      <c r="D35" s="14"/>
      <c r="E35" s="14"/>
      <c r="F35" s="15"/>
      <c r="G35" s="14"/>
      <c r="H35" s="14"/>
      <c r="I35" s="14"/>
      <c r="J35" s="14"/>
      <c r="K35" s="14"/>
      <c r="L35" s="14"/>
      <c r="M35" s="15"/>
      <c r="N35" s="15"/>
      <c r="O35" s="15"/>
    </row>
    <row r="36" spans="1:15" x14ac:dyDescent="0.25">
      <c r="A36" s="14"/>
      <c r="B36" s="14"/>
      <c r="C36" s="14"/>
      <c r="D36" s="14"/>
      <c r="E36" s="14"/>
      <c r="F36" s="15"/>
      <c r="G36" s="14"/>
      <c r="H36" s="14"/>
      <c r="I36" s="14"/>
      <c r="J36" s="14"/>
      <c r="K36" s="14"/>
      <c r="L36" s="14"/>
      <c r="M36" s="15"/>
      <c r="N36" s="15"/>
      <c r="O36" s="15"/>
    </row>
    <row r="37" spans="1:15" x14ac:dyDescent="0.25">
      <c r="A37" s="15"/>
      <c r="B37" s="15"/>
      <c r="C37" s="15"/>
      <c r="D37" s="15"/>
      <c r="E37" s="15"/>
      <c r="F37" s="15"/>
      <c r="G37" s="15"/>
      <c r="H37" s="15"/>
      <c r="I37" s="15"/>
      <c r="J37" s="15"/>
      <c r="K37" s="15"/>
      <c r="L37" s="15"/>
      <c r="M37" s="15"/>
      <c r="N37" s="15"/>
      <c r="O37" s="15"/>
    </row>
    <row r="38" spans="1:15" x14ac:dyDescent="0.25">
      <c r="A38" s="15"/>
      <c r="B38" s="15"/>
      <c r="C38" s="15"/>
      <c r="D38" s="15"/>
      <c r="E38" s="15"/>
      <c r="F38" s="15"/>
      <c r="G38" s="15"/>
      <c r="H38" s="15"/>
      <c r="I38" s="15"/>
      <c r="J38" s="15"/>
      <c r="K38" s="15"/>
      <c r="L38" s="15"/>
      <c r="M38" s="15"/>
      <c r="N38" s="15"/>
      <c r="O38" s="15"/>
    </row>
    <row r="39" spans="1:15" x14ac:dyDescent="0.25">
      <c r="A39" s="15"/>
      <c r="B39" s="15"/>
      <c r="C39" s="15"/>
      <c r="D39" s="15"/>
      <c r="E39" s="15"/>
      <c r="F39" s="15"/>
      <c r="G39" s="15"/>
      <c r="H39" s="15"/>
      <c r="I39" s="15"/>
      <c r="J39" s="15"/>
      <c r="K39" s="15"/>
      <c r="L39" s="15"/>
      <c r="M39" s="15"/>
      <c r="N39" s="15"/>
      <c r="O39" s="15"/>
    </row>
    <row r="40" spans="1:15" x14ac:dyDescent="0.25">
      <c r="A40" s="15"/>
      <c r="B40" s="15"/>
      <c r="C40" s="15"/>
      <c r="D40" s="15"/>
      <c r="E40" s="15"/>
      <c r="F40" s="15"/>
      <c r="G40" s="15"/>
      <c r="H40" s="15"/>
      <c r="I40" s="15"/>
      <c r="J40" s="15"/>
      <c r="K40" s="15"/>
      <c r="L40" s="15"/>
      <c r="M40" s="15"/>
      <c r="N40" s="15"/>
      <c r="O40" s="15"/>
    </row>
    <row r="41" spans="1:15" x14ac:dyDescent="0.25">
      <c r="A41" s="15"/>
      <c r="B41" s="15"/>
      <c r="C41" s="15"/>
      <c r="D41" s="15"/>
      <c r="E41" s="15"/>
      <c r="F41" s="15"/>
      <c r="G41" s="15"/>
      <c r="H41" s="15"/>
      <c r="I41" s="15"/>
      <c r="J41" s="15"/>
      <c r="K41" s="15"/>
      <c r="L41" s="15"/>
      <c r="M41" s="15"/>
      <c r="N41" s="15"/>
      <c r="O41" s="15"/>
    </row>
    <row r="42" spans="1:15" x14ac:dyDescent="0.25">
      <c r="A42" s="15"/>
      <c r="B42" s="15"/>
      <c r="C42" s="15"/>
      <c r="D42" s="15"/>
      <c r="E42" s="15"/>
      <c r="F42" s="15"/>
      <c r="G42" s="15"/>
      <c r="H42" s="15"/>
      <c r="I42" s="15"/>
      <c r="J42" s="15"/>
      <c r="K42" s="15"/>
      <c r="L42" s="15"/>
      <c r="M42" s="15"/>
      <c r="N42" s="15"/>
      <c r="O42" s="15"/>
    </row>
    <row r="43" spans="1:15" ht="15" customHeight="1" x14ac:dyDescent="0.25">
      <c r="A43" s="277"/>
      <c r="B43" s="277"/>
      <c r="C43" s="277"/>
      <c r="D43" s="277"/>
      <c r="E43" s="277"/>
      <c r="F43" s="277"/>
      <c r="G43" s="277"/>
      <c r="H43" s="277"/>
      <c r="I43" s="277"/>
      <c r="J43" s="277"/>
      <c r="K43" s="16"/>
      <c r="L43" s="16"/>
    </row>
    <row r="44" spans="1:15" x14ac:dyDescent="0.25">
      <c r="A44" s="277"/>
      <c r="B44" s="277"/>
      <c r="C44" s="277"/>
      <c r="D44" s="277"/>
      <c r="E44" s="277"/>
      <c r="F44" s="277"/>
      <c r="G44" s="277"/>
      <c r="H44" s="277"/>
      <c r="I44" s="277"/>
      <c r="J44" s="277"/>
      <c r="K44" s="16"/>
      <c r="L44" s="16"/>
    </row>
  </sheetData>
  <mergeCells count="18">
    <mergeCell ref="A12:P13"/>
    <mergeCell ref="A6:P6"/>
    <mergeCell ref="A7:P7"/>
    <mergeCell ref="A8:P8"/>
    <mergeCell ref="A9:P9"/>
    <mergeCell ref="A10:P11"/>
    <mergeCell ref="O14:O15"/>
    <mergeCell ref="P14:P15"/>
    <mergeCell ref="A43:J44"/>
    <mergeCell ref="A16:A17"/>
    <mergeCell ref="A14:A15"/>
    <mergeCell ref="B14:E14"/>
    <mergeCell ref="F14:F15"/>
    <mergeCell ref="G14:L14"/>
    <mergeCell ref="M14:M15"/>
    <mergeCell ref="N14:N15"/>
    <mergeCell ref="A19:A24"/>
    <mergeCell ref="A25:A32"/>
  </mergeCells>
  <printOptions horizontalCentered="1" verticalCentered="1"/>
  <pageMargins left="3.937007874015748E-2" right="3.937007874015748E-2" top="0.35433070866141736" bottom="0.39370078740157483" header="0.31496062992125984" footer="0.23622047244094491"/>
  <pageSetup scale="35" fitToHeight="0" orientation="landscape" r:id="rId1"/>
  <rowBreaks count="1" manualBreakCount="1">
    <brk id="24"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P45"/>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3" width="22.5703125" style="10" customWidth="1"/>
    <col min="4" max="5" width="20.7109375" style="10" customWidth="1"/>
    <col min="6" max="6" width="47.57031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29.42578125" style="10" customWidth="1"/>
    <col min="15" max="15" width="33"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96</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293.25" customHeight="1" thickBot="1" x14ac:dyDescent="0.3">
      <c r="A16" s="284" t="s">
        <v>620</v>
      </c>
      <c r="B16" s="26" t="s">
        <v>537</v>
      </c>
      <c r="C16" s="26" t="s">
        <v>538</v>
      </c>
      <c r="D16" s="20">
        <v>1</v>
      </c>
      <c r="E16" s="23" t="s">
        <v>37</v>
      </c>
      <c r="F16" s="60" t="s">
        <v>539</v>
      </c>
      <c r="G16" s="155">
        <v>0</v>
      </c>
      <c r="H16" s="155">
        <v>0</v>
      </c>
      <c r="I16" s="155">
        <v>0</v>
      </c>
      <c r="J16" s="156">
        <f>+SUM(G16:I16)</f>
        <v>0</v>
      </c>
      <c r="K16" s="13">
        <f>+IFERROR(J16/D16,"-")</f>
        <v>0</v>
      </c>
      <c r="L16" s="13">
        <f>+K16+100%</f>
        <v>1</v>
      </c>
      <c r="M16" s="64" t="s">
        <v>560</v>
      </c>
      <c r="N16" s="26" t="s">
        <v>39</v>
      </c>
      <c r="O16" s="60" t="s">
        <v>561</v>
      </c>
      <c r="P16" s="26"/>
    </row>
    <row r="17" spans="1:16" ht="328.5" customHeight="1" thickBot="1" x14ac:dyDescent="0.3">
      <c r="A17" s="285"/>
      <c r="B17" s="26" t="s">
        <v>540</v>
      </c>
      <c r="C17" s="26" t="s">
        <v>541</v>
      </c>
      <c r="D17" s="173">
        <v>2</v>
      </c>
      <c r="E17" s="23" t="s">
        <v>37</v>
      </c>
      <c r="F17" s="60" t="s">
        <v>542</v>
      </c>
      <c r="G17" s="155">
        <v>0</v>
      </c>
      <c r="H17" s="155">
        <v>0</v>
      </c>
      <c r="I17" s="155">
        <v>2</v>
      </c>
      <c r="J17" s="156">
        <f t="shared" ref="J17:J33" si="0">+SUM(G17:I17)</f>
        <v>2</v>
      </c>
      <c r="K17" s="13">
        <f t="shared" ref="K17:K33" si="1">+IFERROR(J17/D17,"-")</f>
        <v>1</v>
      </c>
      <c r="L17" s="13">
        <f>+K17+0%</f>
        <v>1</v>
      </c>
      <c r="M17" s="26" t="s">
        <v>562</v>
      </c>
      <c r="N17" s="26" t="s">
        <v>39</v>
      </c>
      <c r="O17" s="60" t="s">
        <v>563</v>
      </c>
      <c r="P17" s="26"/>
    </row>
    <row r="18" spans="1:16" ht="128.25" customHeight="1" thickBot="1" x14ac:dyDescent="0.3">
      <c r="A18" s="283" t="s">
        <v>543</v>
      </c>
      <c r="B18" s="26" t="s">
        <v>544</v>
      </c>
      <c r="C18" s="26" t="s">
        <v>545</v>
      </c>
      <c r="D18" s="172">
        <v>1</v>
      </c>
      <c r="E18" s="23" t="s">
        <v>37</v>
      </c>
      <c r="F18" s="60" t="s">
        <v>546</v>
      </c>
      <c r="G18" s="155">
        <v>0</v>
      </c>
      <c r="H18" s="155">
        <v>0</v>
      </c>
      <c r="I18" s="155">
        <v>0</v>
      </c>
      <c r="J18" s="156">
        <f t="shared" si="0"/>
        <v>0</v>
      </c>
      <c r="K18" s="13">
        <f t="shared" si="1"/>
        <v>0</v>
      </c>
      <c r="L18" s="13">
        <f>+K18+100%</f>
        <v>1</v>
      </c>
      <c r="M18" s="26" t="s">
        <v>562</v>
      </c>
      <c r="N18" s="26" t="s">
        <v>39</v>
      </c>
      <c r="O18" s="60" t="s">
        <v>564</v>
      </c>
      <c r="P18" s="26"/>
    </row>
    <row r="19" spans="1:16" ht="220.5" customHeight="1" thickBot="1" x14ac:dyDescent="0.3">
      <c r="A19" s="283"/>
      <c r="B19" s="26" t="s">
        <v>547</v>
      </c>
      <c r="C19" s="26" t="s">
        <v>548</v>
      </c>
      <c r="D19" s="25">
        <v>5</v>
      </c>
      <c r="E19" s="23" t="s">
        <v>37</v>
      </c>
      <c r="F19" s="60" t="s">
        <v>549</v>
      </c>
      <c r="G19" s="155">
        <v>1</v>
      </c>
      <c r="H19" s="155">
        <v>0</v>
      </c>
      <c r="I19" s="155">
        <v>1</v>
      </c>
      <c r="J19" s="156">
        <f t="shared" si="0"/>
        <v>2</v>
      </c>
      <c r="K19" s="13">
        <f t="shared" si="1"/>
        <v>0.4</v>
      </c>
      <c r="L19" s="13">
        <f>+K19+60%</f>
        <v>1</v>
      </c>
      <c r="M19" s="26" t="s">
        <v>562</v>
      </c>
      <c r="N19" s="26" t="s">
        <v>39</v>
      </c>
      <c r="O19" s="60" t="s">
        <v>565</v>
      </c>
      <c r="P19" s="26"/>
    </row>
    <row r="20" spans="1:16" ht="120" customHeight="1" thickBot="1" x14ac:dyDescent="0.3">
      <c r="A20" s="26" t="s">
        <v>550</v>
      </c>
      <c r="B20" s="26" t="s">
        <v>551</v>
      </c>
      <c r="C20" s="26" t="s">
        <v>552</v>
      </c>
      <c r="D20" s="24">
        <v>1</v>
      </c>
      <c r="E20" s="23" t="s">
        <v>37</v>
      </c>
      <c r="F20" s="60" t="s">
        <v>553</v>
      </c>
      <c r="G20" s="155">
        <v>0</v>
      </c>
      <c r="H20" s="155">
        <v>0</v>
      </c>
      <c r="I20" s="155">
        <v>0</v>
      </c>
      <c r="J20" s="156">
        <f t="shared" si="0"/>
        <v>0</v>
      </c>
      <c r="K20" s="13">
        <f t="shared" si="1"/>
        <v>0</v>
      </c>
      <c r="L20" s="13">
        <f>+K20+100%</f>
        <v>1</v>
      </c>
      <c r="M20" s="26" t="s">
        <v>562</v>
      </c>
      <c r="N20" s="64" t="s">
        <v>566</v>
      </c>
      <c r="O20" s="60" t="s">
        <v>567</v>
      </c>
      <c r="P20" s="26"/>
    </row>
    <row r="21" spans="1:16" ht="159.75" customHeight="1" thickBot="1" x14ac:dyDescent="0.3">
      <c r="A21" s="26" t="s">
        <v>554</v>
      </c>
      <c r="B21" s="26" t="s">
        <v>555</v>
      </c>
      <c r="C21" s="26" t="s">
        <v>552</v>
      </c>
      <c r="D21" s="20">
        <v>1</v>
      </c>
      <c r="E21" s="23" t="s">
        <v>37</v>
      </c>
      <c r="F21" s="60" t="s">
        <v>556</v>
      </c>
      <c r="G21" s="155">
        <v>0</v>
      </c>
      <c r="H21" s="155">
        <v>0</v>
      </c>
      <c r="I21" s="155">
        <v>0</v>
      </c>
      <c r="J21" s="156">
        <f t="shared" si="0"/>
        <v>0</v>
      </c>
      <c r="K21" s="13">
        <f t="shared" si="1"/>
        <v>0</v>
      </c>
      <c r="L21" s="13">
        <f>+K21+100%</f>
        <v>1</v>
      </c>
      <c r="M21" s="26" t="s">
        <v>562</v>
      </c>
      <c r="N21" s="64" t="s">
        <v>568</v>
      </c>
      <c r="O21" s="60" t="s">
        <v>569</v>
      </c>
      <c r="P21" s="26"/>
    </row>
    <row r="22" spans="1:16" ht="135" customHeight="1" thickBot="1" x14ac:dyDescent="0.3">
      <c r="A22" s="26" t="s">
        <v>557</v>
      </c>
      <c r="B22" s="26" t="s">
        <v>558</v>
      </c>
      <c r="C22" s="26" t="s">
        <v>552</v>
      </c>
      <c r="D22" s="20">
        <v>1</v>
      </c>
      <c r="E22" s="23" t="s">
        <v>37</v>
      </c>
      <c r="F22" s="60" t="s">
        <v>559</v>
      </c>
      <c r="G22" s="155">
        <v>0</v>
      </c>
      <c r="H22" s="155">
        <v>0</v>
      </c>
      <c r="I22" s="155">
        <v>0</v>
      </c>
      <c r="J22" s="156">
        <f t="shared" si="0"/>
        <v>0</v>
      </c>
      <c r="K22" s="13">
        <f t="shared" si="1"/>
        <v>0</v>
      </c>
      <c r="L22" s="13">
        <f>+K22+100%</f>
        <v>1</v>
      </c>
      <c r="M22" s="26" t="s">
        <v>562</v>
      </c>
      <c r="N22" s="64" t="s">
        <v>570</v>
      </c>
      <c r="O22" s="60" t="s">
        <v>907</v>
      </c>
      <c r="P22" s="26"/>
    </row>
    <row r="23" spans="1:16" ht="153" customHeight="1" thickBot="1" x14ac:dyDescent="0.3">
      <c r="A23" s="283" t="s">
        <v>571</v>
      </c>
      <c r="B23" s="26" t="s">
        <v>572</v>
      </c>
      <c r="C23" s="26" t="s">
        <v>573</v>
      </c>
      <c r="D23" s="22">
        <v>3</v>
      </c>
      <c r="E23" s="23" t="s">
        <v>37</v>
      </c>
      <c r="F23" s="60" t="s">
        <v>574</v>
      </c>
      <c r="G23" s="155">
        <v>1</v>
      </c>
      <c r="H23" s="155">
        <v>1</v>
      </c>
      <c r="I23" s="155">
        <v>0</v>
      </c>
      <c r="J23" s="156">
        <f t="shared" si="0"/>
        <v>2</v>
      </c>
      <c r="K23" s="13">
        <f t="shared" si="1"/>
        <v>0.66666666666666663</v>
      </c>
      <c r="L23" s="13">
        <f>+K23+100%</f>
        <v>1.6666666666666665</v>
      </c>
      <c r="M23" s="26" t="s">
        <v>581</v>
      </c>
      <c r="N23" s="64" t="s">
        <v>582</v>
      </c>
      <c r="O23" s="60" t="s">
        <v>583</v>
      </c>
      <c r="P23" s="26"/>
    </row>
    <row r="24" spans="1:16" ht="217.5" customHeight="1" thickBot="1" x14ac:dyDescent="0.3">
      <c r="A24" s="283"/>
      <c r="B24" s="26" t="s">
        <v>575</v>
      </c>
      <c r="C24" s="26" t="s">
        <v>576</v>
      </c>
      <c r="D24" s="24">
        <v>1</v>
      </c>
      <c r="E24" s="23" t="s">
        <v>37</v>
      </c>
      <c r="F24" s="60" t="s">
        <v>577</v>
      </c>
      <c r="G24" s="155">
        <v>0</v>
      </c>
      <c r="H24" s="155">
        <v>0</v>
      </c>
      <c r="I24" s="155">
        <v>0</v>
      </c>
      <c r="J24" s="156">
        <f t="shared" si="0"/>
        <v>0</v>
      </c>
      <c r="K24" s="13">
        <f t="shared" si="1"/>
        <v>0</v>
      </c>
      <c r="L24" s="13">
        <f>+K24+100%</f>
        <v>1</v>
      </c>
      <c r="M24" s="26" t="s">
        <v>581</v>
      </c>
      <c r="N24" s="64" t="s">
        <v>584</v>
      </c>
      <c r="O24" s="60" t="s">
        <v>585</v>
      </c>
      <c r="P24" s="26"/>
    </row>
    <row r="25" spans="1:16" ht="133.5" customHeight="1" thickBot="1" x14ac:dyDescent="0.3">
      <c r="A25" s="283"/>
      <c r="B25" s="26" t="s">
        <v>578</v>
      </c>
      <c r="C25" s="26" t="s">
        <v>579</v>
      </c>
      <c r="D25" s="24">
        <v>7</v>
      </c>
      <c r="E25" s="23" t="s">
        <v>60</v>
      </c>
      <c r="F25" s="60" t="s">
        <v>580</v>
      </c>
      <c r="G25" s="155">
        <v>1</v>
      </c>
      <c r="H25" s="155">
        <v>4</v>
      </c>
      <c r="I25" s="155">
        <v>1</v>
      </c>
      <c r="J25" s="156">
        <f t="shared" si="0"/>
        <v>6</v>
      </c>
      <c r="K25" s="13">
        <f t="shared" si="1"/>
        <v>0.8571428571428571</v>
      </c>
      <c r="L25" s="13">
        <f>+K25+71.4285714285715%</f>
        <v>1.5714285714285721</v>
      </c>
      <c r="M25" s="26" t="s">
        <v>581</v>
      </c>
      <c r="N25" s="64" t="s">
        <v>586</v>
      </c>
      <c r="O25" s="60" t="s">
        <v>587</v>
      </c>
      <c r="P25" s="26"/>
    </row>
    <row r="26" spans="1:16" ht="177.75" customHeight="1" thickBot="1" x14ac:dyDescent="0.3">
      <c r="A26" s="283" t="s">
        <v>588</v>
      </c>
      <c r="B26" s="26" t="s">
        <v>589</v>
      </c>
      <c r="C26" s="26" t="s">
        <v>590</v>
      </c>
      <c r="D26" s="24">
        <v>3</v>
      </c>
      <c r="E26" s="23" t="s">
        <v>37</v>
      </c>
      <c r="F26" s="60" t="s">
        <v>591</v>
      </c>
      <c r="G26" s="156">
        <v>0</v>
      </c>
      <c r="H26" s="156">
        <v>0</v>
      </c>
      <c r="I26" s="155">
        <v>1</v>
      </c>
      <c r="J26" s="156">
        <f t="shared" si="0"/>
        <v>1</v>
      </c>
      <c r="K26" s="13">
        <f t="shared" si="1"/>
        <v>0.33333333333333331</v>
      </c>
      <c r="L26" s="13">
        <f>+K26+66.6666666666667%</f>
        <v>1.0000000000000002</v>
      </c>
      <c r="M26" s="26" t="s">
        <v>609</v>
      </c>
      <c r="N26" s="26" t="s">
        <v>39</v>
      </c>
      <c r="O26" s="60" t="s">
        <v>610</v>
      </c>
      <c r="P26" s="97"/>
    </row>
    <row r="27" spans="1:16" ht="123.75" customHeight="1" thickBot="1" x14ac:dyDescent="0.3">
      <c r="A27" s="283"/>
      <c r="B27" s="26" t="s">
        <v>592</v>
      </c>
      <c r="C27" s="26" t="s">
        <v>593</v>
      </c>
      <c r="D27" s="24">
        <v>1</v>
      </c>
      <c r="E27" s="23" t="s">
        <v>37</v>
      </c>
      <c r="F27" s="60" t="s">
        <v>594</v>
      </c>
      <c r="G27" s="156">
        <v>0</v>
      </c>
      <c r="H27" s="156">
        <v>0</v>
      </c>
      <c r="I27" s="155">
        <v>0</v>
      </c>
      <c r="J27" s="156">
        <f t="shared" si="0"/>
        <v>0</v>
      </c>
      <c r="K27" s="13">
        <f t="shared" si="1"/>
        <v>0</v>
      </c>
      <c r="L27" s="13">
        <f>+K27+0%</f>
        <v>0</v>
      </c>
      <c r="M27" s="26" t="s">
        <v>609</v>
      </c>
      <c r="N27" s="26" t="s">
        <v>611</v>
      </c>
      <c r="O27" s="60" t="s">
        <v>612</v>
      </c>
      <c r="P27" s="26"/>
    </row>
    <row r="28" spans="1:16" ht="204.75" customHeight="1" thickBot="1" x14ac:dyDescent="0.3">
      <c r="A28" s="283" t="s">
        <v>595</v>
      </c>
      <c r="B28" s="26" t="s">
        <v>596</v>
      </c>
      <c r="C28" s="26" t="s">
        <v>597</v>
      </c>
      <c r="D28" s="24">
        <v>1</v>
      </c>
      <c r="E28" s="23" t="s">
        <v>37</v>
      </c>
      <c r="F28" s="80" t="s">
        <v>598</v>
      </c>
      <c r="G28" s="156">
        <v>0</v>
      </c>
      <c r="H28" s="156">
        <v>0</v>
      </c>
      <c r="I28" s="155">
        <v>0</v>
      </c>
      <c r="J28" s="156">
        <f t="shared" si="0"/>
        <v>0</v>
      </c>
      <c r="K28" s="13">
        <f t="shared" si="1"/>
        <v>0</v>
      </c>
      <c r="L28" s="13">
        <f>+K28+100%</f>
        <v>1</v>
      </c>
      <c r="M28" s="26" t="s">
        <v>609</v>
      </c>
      <c r="N28" s="84" t="s">
        <v>613</v>
      </c>
      <c r="O28" s="83" t="s">
        <v>614</v>
      </c>
      <c r="P28" s="26"/>
    </row>
    <row r="29" spans="1:16" ht="165" customHeight="1" thickBot="1" x14ac:dyDescent="0.3">
      <c r="A29" s="283"/>
      <c r="B29" s="26" t="s">
        <v>599</v>
      </c>
      <c r="C29" s="26" t="s">
        <v>600</v>
      </c>
      <c r="D29" s="25">
        <v>1</v>
      </c>
      <c r="E29" s="23" t="s">
        <v>37</v>
      </c>
      <c r="F29" s="80" t="s">
        <v>601</v>
      </c>
      <c r="G29" s="156">
        <v>0</v>
      </c>
      <c r="H29" s="156">
        <v>0</v>
      </c>
      <c r="I29" s="155">
        <v>0</v>
      </c>
      <c r="J29" s="156">
        <f t="shared" si="0"/>
        <v>0</v>
      </c>
      <c r="K29" s="13">
        <f t="shared" si="1"/>
        <v>0</v>
      </c>
      <c r="L29" s="13">
        <f>+K29+100%</f>
        <v>1</v>
      </c>
      <c r="M29" s="26" t="s">
        <v>609</v>
      </c>
      <c r="N29" s="84" t="s">
        <v>615</v>
      </c>
      <c r="O29" s="83" t="s">
        <v>616</v>
      </c>
      <c r="P29" s="26"/>
    </row>
    <row r="30" spans="1:16" ht="146.25" customHeight="1" thickBot="1" x14ac:dyDescent="0.3">
      <c r="A30" s="284"/>
      <c r="B30" s="26" t="s">
        <v>602</v>
      </c>
      <c r="C30" s="26" t="s">
        <v>603</v>
      </c>
      <c r="D30" s="25">
        <v>3</v>
      </c>
      <c r="E30" s="23" t="s">
        <v>37</v>
      </c>
      <c r="F30" s="60" t="s">
        <v>604</v>
      </c>
      <c r="G30" s="156">
        <v>0</v>
      </c>
      <c r="H30" s="156">
        <v>0</v>
      </c>
      <c r="I30" s="155">
        <v>1</v>
      </c>
      <c r="J30" s="156">
        <f t="shared" si="0"/>
        <v>1</v>
      </c>
      <c r="K30" s="13">
        <f t="shared" si="1"/>
        <v>0.33333333333333331</v>
      </c>
      <c r="L30" s="13">
        <f>+K30+66.6666666666666%</f>
        <v>0.99999999999999933</v>
      </c>
      <c r="M30" s="26" t="s">
        <v>609</v>
      </c>
      <c r="N30" s="26" t="s">
        <v>39</v>
      </c>
      <c r="O30" s="98" t="s">
        <v>617</v>
      </c>
      <c r="P30" s="26"/>
    </row>
    <row r="31" spans="1:16" ht="131.25" customHeight="1" thickBot="1" x14ac:dyDescent="0.3">
      <c r="A31" s="93" t="s">
        <v>605</v>
      </c>
      <c r="B31" s="96" t="s">
        <v>606</v>
      </c>
      <c r="C31" s="19" t="s">
        <v>607</v>
      </c>
      <c r="D31" s="25">
        <v>13</v>
      </c>
      <c r="E31" s="23" t="s">
        <v>60</v>
      </c>
      <c r="F31" s="60" t="s">
        <v>608</v>
      </c>
      <c r="G31" s="156">
        <v>0</v>
      </c>
      <c r="H31" s="156">
        <v>0</v>
      </c>
      <c r="I31" s="155">
        <v>0</v>
      </c>
      <c r="J31" s="156">
        <f t="shared" si="0"/>
        <v>0</v>
      </c>
      <c r="K31" s="13">
        <f t="shared" si="1"/>
        <v>0</v>
      </c>
      <c r="L31" s="13">
        <f>+K31+169.230769230769%</f>
        <v>1.6923076923076901</v>
      </c>
      <c r="M31" s="26" t="s">
        <v>609</v>
      </c>
      <c r="N31" s="99" t="s">
        <v>618</v>
      </c>
      <c r="O31" s="100" t="s">
        <v>619</v>
      </c>
      <c r="P31" s="27"/>
    </row>
    <row r="32" spans="1:16" ht="159.75" customHeight="1" thickBot="1" x14ac:dyDescent="0.3">
      <c r="A32" s="283" t="s">
        <v>620</v>
      </c>
      <c r="B32" s="26" t="s">
        <v>621</v>
      </c>
      <c r="C32" s="26" t="s">
        <v>622</v>
      </c>
      <c r="D32" s="25">
        <v>6</v>
      </c>
      <c r="E32" s="23" t="s">
        <v>37</v>
      </c>
      <c r="F32" s="60" t="s">
        <v>623</v>
      </c>
      <c r="G32" s="155">
        <v>0</v>
      </c>
      <c r="H32" s="155">
        <v>0</v>
      </c>
      <c r="I32" s="155">
        <v>0</v>
      </c>
      <c r="J32" s="156">
        <f t="shared" si="0"/>
        <v>0</v>
      </c>
      <c r="K32" s="13">
        <f t="shared" si="1"/>
        <v>0</v>
      </c>
      <c r="L32" s="13">
        <f>+K32+0%</f>
        <v>0</v>
      </c>
      <c r="M32" s="26" t="s">
        <v>627</v>
      </c>
      <c r="N32" s="64" t="s">
        <v>628</v>
      </c>
      <c r="O32" s="60" t="s">
        <v>629</v>
      </c>
      <c r="P32" s="26"/>
    </row>
    <row r="33" spans="1:16" ht="148.5" customHeight="1" thickBot="1" x14ac:dyDescent="0.3">
      <c r="A33" s="283"/>
      <c r="B33" s="26" t="s">
        <v>624</v>
      </c>
      <c r="C33" s="26" t="s">
        <v>625</v>
      </c>
      <c r="D33" s="25">
        <v>1</v>
      </c>
      <c r="E33" s="23" t="s">
        <v>60</v>
      </c>
      <c r="F33" s="60" t="s">
        <v>626</v>
      </c>
      <c r="G33" s="155">
        <v>0</v>
      </c>
      <c r="H33" s="155">
        <v>0</v>
      </c>
      <c r="I33" s="155">
        <v>0</v>
      </c>
      <c r="J33" s="156">
        <f t="shared" si="0"/>
        <v>0</v>
      </c>
      <c r="K33" s="13">
        <f t="shared" si="1"/>
        <v>0</v>
      </c>
      <c r="L33" s="13">
        <f>+K33+0%</f>
        <v>0</v>
      </c>
      <c r="M33" s="26" t="s">
        <v>627</v>
      </c>
      <c r="N33" s="26" t="s">
        <v>112</v>
      </c>
      <c r="O33" s="60" t="s">
        <v>630</v>
      </c>
      <c r="P33" s="26"/>
    </row>
    <row r="34" spans="1:16" x14ac:dyDescent="0.25">
      <c r="A34" s="14"/>
      <c r="B34" s="14"/>
      <c r="C34" s="14"/>
      <c r="D34" s="14"/>
      <c r="E34" s="14"/>
      <c r="F34" s="15"/>
      <c r="G34" s="14"/>
      <c r="H34" s="14"/>
      <c r="I34" s="14"/>
      <c r="J34" s="14"/>
      <c r="K34" s="14"/>
      <c r="L34" s="14"/>
      <c r="M34" s="15"/>
      <c r="N34" s="15"/>
      <c r="O34" s="15"/>
    </row>
    <row r="35" spans="1:16" x14ac:dyDescent="0.25">
      <c r="A35" s="14"/>
      <c r="B35" s="14"/>
      <c r="C35" s="14"/>
      <c r="D35" s="14"/>
      <c r="E35" s="14"/>
      <c r="F35" s="15"/>
      <c r="G35" s="14"/>
      <c r="H35" s="14"/>
      <c r="I35" s="14"/>
      <c r="J35" s="14"/>
      <c r="K35" s="14"/>
      <c r="L35" s="14"/>
      <c r="M35" s="15"/>
      <c r="N35" s="15"/>
      <c r="O35" s="15"/>
    </row>
    <row r="36" spans="1:16" x14ac:dyDescent="0.25">
      <c r="A36" s="14"/>
      <c r="B36" s="14"/>
      <c r="C36" s="14"/>
      <c r="D36" s="14"/>
      <c r="E36" s="14"/>
      <c r="F36" s="15"/>
      <c r="G36" s="14"/>
      <c r="H36" s="14"/>
      <c r="I36" s="14"/>
      <c r="J36" s="14"/>
      <c r="K36" s="14"/>
      <c r="L36" s="14"/>
      <c r="M36" s="15"/>
      <c r="N36" s="15"/>
      <c r="O36" s="15"/>
    </row>
    <row r="37" spans="1:16" x14ac:dyDescent="0.25">
      <c r="A37" s="14"/>
      <c r="B37" s="14"/>
      <c r="C37" s="14"/>
      <c r="D37" s="14"/>
      <c r="E37" s="14"/>
      <c r="F37" s="15"/>
      <c r="G37" s="14"/>
      <c r="H37" s="14"/>
      <c r="I37" s="14"/>
      <c r="J37" s="14"/>
      <c r="K37" s="14"/>
      <c r="L37" s="14"/>
      <c r="M37" s="15"/>
      <c r="N37" s="15"/>
      <c r="O37" s="15"/>
    </row>
    <row r="38" spans="1:16" x14ac:dyDescent="0.25">
      <c r="A38" s="15"/>
      <c r="B38" s="15"/>
      <c r="C38" s="15"/>
      <c r="D38" s="15"/>
      <c r="E38" s="15"/>
      <c r="F38" s="15"/>
      <c r="G38" s="15"/>
      <c r="H38" s="15"/>
      <c r="I38" s="15"/>
      <c r="J38" s="15"/>
      <c r="K38" s="15"/>
      <c r="L38" s="15"/>
      <c r="M38" s="15"/>
      <c r="N38" s="15"/>
      <c r="O38" s="15"/>
    </row>
    <row r="39" spans="1:16" x14ac:dyDescent="0.25">
      <c r="A39" s="15"/>
      <c r="B39" s="15"/>
      <c r="C39" s="15"/>
      <c r="D39" s="15"/>
      <c r="E39" s="15"/>
      <c r="F39" s="15"/>
      <c r="G39" s="15"/>
      <c r="H39" s="15"/>
      <c r="I39" s="15"/>
      <c r="J39" s="15"/>
      <c r="K39" s="15"/>
      <c r="L39" s="15"/>
      <c r="M39" s="15"/>
      <c r="N39" s="15"/>
      <c r="O39" s="15"/>
    </row>
    <row r="40" spans="1:16" x14ac:dyDescent="0.25">
      <c r="A40" s="15"/>
      <c r="B40" s="15"/>
      <c r="C40" s="15"/>
      <c r="D40" s="15"/>
      <c r="E40" s="15"/>
      <c r="F40" s="15"/>
      <c r="G40" s="15"/>
      <c r="H40" s="15"/>
      <c r="I40" s="15"/>
      <c r="J40" s="15"/>
      <c r="K40" s="15"/>
      <c r="L40" s="15"/>
      <c r="M40" s="15"/>
      <c r="N40" s="15"/>
      <c r="O40" s="15"/>
    </row>
    <row r="41" spans="1:16" x14ac:dyDescent="0.25">
      <c r="A41" s="15"/>
      <c r="B41" s="15"/>
      <c r="C41" s="15"/>
      <c r="D41" s="15"/>
      <c r="E41" s="15"/>
      <c r="F41" s="15"/>
      <c r="G41" s="15"/>
      <c r="H41" s="15"/>
      <c r="I41" s="15"/>
      <c r="J41" s="15"/>
      <c r="K41" s="15"/>
      <c r="L41" s="15"/>
      <c r="M41" s="15"/>
      <c r="N41" s="15"/>
      <c r="O41" s="15"/>
    </row>
    <row r="42" spans="1:16" x14ac:dyDescent="0.25">
      <c r="A42" s="15"/>
      <c r="B42" s="15"/>
      <c r="C42" s="15"/>
      <c r="D42" s="15"/>
      <c r="E42" s="15"/>
      <c r="F42" s="15"/>
      <c r="G42" s="15"/>
      <c r="H42" s="15"/>
      <c r="I42" s="15"/>
      <c r="J42" s="15"/>
      <c r="K42" s="15"/>
      <c r="L42" s="15"/>
      <c r="M42" s="15"/>
      <c r="N42" s="15"/>
      <c r="O42" s="15"/>
    </row>
    <row r="43" spans="1:16" x14ac:dyDescent="0.25">
      <c r="A43" s="15"/>
      <c r="B43" s="15"/>
      <c r="C43" s="15"/>
      <c r="D43" s="15"/>
      <c r="E43" s="15"/>
      <c r="F43" s="15"/>
      <c r="G43" s="15"/>
      <c r="H43" s="15"/>
      <c r="I43" s="15"/>
      <c r="J43" s="15"/>
      <c r="K43" s="15"/>
      <c r="L43" s="15"/>
      <c r="M43" s="15"/>
      <c r="N43" s="15"/>
      <c r="O43" s="15"/>
    </row>
    <row r="44" spans="1:16" ht="15" customHeight="1" x14ac:dyDescent="0.25">
      <c r="A44" s="277"/>
      <c r="B44" s="277"/>
      <c r="C44" s="277"/>
      <c r="D44" s="277"/>
      <c r="E44" s="277"/>
      <c r="F44" s="277"/>
      <c r="G44" s="277"/>
      <c r="H44" s="277"/>
      <c r="I44" s="277"/>
      <c r="J44" s="277"/>
      <c r="K44" s="16"/>
      <c r="L44" s="16"/>
    </row>
    <row r="45" spans="1:16" x14ac:dyDescent="0.25">
      <c r="A45" s="277"/>
      <c r="B45" s="277"/>
      <c r="C45" s="277"/>
      <c r="D45" s="277"/>
      <c r="E45" s="277"/>
      <c r="F45" s="277"/>
      <c r="G45" s="277"/>
      <c r="H45" s="277"/>
      <c r="I45" s="277"/>
      <c r="J45" s="277"/>
      <c r="K45" s="16"/>
      <c r="L45" s="16"/>
    </row>
  </sheetData>
  <mergeCells count="21">
    <mergeCell ref="A12:P13"/>
    <mergeCell ref="A6:P6"/>
    <mergeCell ref="A7:P7"/>
    <mergeCell ref="A8:P8"/>
    <mergeCell ref="A9:P9"/>
    <mergeCell ref="A10:P11"/>
    <mergeCell ref="O14:O15"/>
    <mergeCell ref="P14:P15"/>
    <mergeCell ref="A44:J45"/>
    <mergeCell ref="A16:A17"/>
    <mergeCell ref="A18:A19"/>
    <mergeCell ref="A23:A25"/>
    <mergeCell ref="A26:A27"/>
    <mergeCell ref="A28:A30"/>
    <mergeCell ref="A32:A33"/>
    <mergeCell ref="A14:A15"/>
    <mergeCell ref="B14:E14"/>
    <mergeCell ref="F14:F15"/>
    <mergeCell ref="G14:L14"/>
    <mergeCell ref="M14:M15"/>
    <mergeCell ref="N14:N15"/>
  </mergeCells>
  <printOptions horizontalCentered="1" verticalCentered="1"/>
  <pageMargins left="3.937007874015748E-2" right="3.937007874015748E-2" top="0.35433070866141736" bottom="0.39370078740157483" header="0.31496062992125984" footer="0.23622047244094491"/>
  <pageSetup scale="34" fitToHeight="0" orientation="landscape" r:id="rId1"/>
  <rowBreaks count="3" manualBreakCount="3">
    <brk id="17" max="15" man="1"/>
    <brk id="22" max="15" man="1"/>
    <brk id="27"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P47"/>
  <sheetViews>
    <sheetView showGridLines="0" zoomScale="25" zoomScaleNormal="25" zoomScaleSheetLayoutView="20" workbookViewId="0">
      <selection activeCell="M29" sqref="M29:M33"/>
    </sheetView>
  </sheetViews>
  <sheetFormatPr baseColWidth="10" defaultColWidth="11.42578125" defaultRowHeight="15" x14ac:dyDescent="0.25"/>
  <cols>
    <col min="1" max="1" width="36.85546875" style="10" customWidth="1"/>
    <col min="2" max="2" width="27.140625" style="10" customWidth="1"/>
    <col min="3" max="3" width="25.85546875" style="10" customWidth="1"/>
    <col min="4" max="5" width="20.7109375" style="10" customWidth="1"/>
    <col min="6" max="6" width="61.8554687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34.7109375" style="10" customWidth="1"/>
    <col min="15" max="15" width="33"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97</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99" t="s">
        <v>631</v>
      </c>
      <c r="B16" s="303" t="s">
        <v>632</v>
      </c>
      <c r="C16" s="101" t="s">
        <v>633</v>
      </c>
      <c r="D16" s="20">
        <v>1</v>
      </c>
      <c r="E16" s="23" t="s">
        <v>60</v>
      </c>
      <c r="F16" s="304" t="s">
        <v>634</v>
      </c>
      <c r="G16" s="155">
        <v>0</v>
      </c>
      <c r="H16" s="155">
        <v>0</v>
      </c>
      <c r="I16" s="156">
        <v>0</v>
      </c>
      <c r="J16" s="156">
        <f>+SUM(G16:I16)</f>
        <v>0</v>
      </c>
      <c r="K16" s="13">
        <f>+IFERROR(J16/D16,"-")</f>
        <v>0</v>
      </c>
      <c r="L16" s="13">
        <f>+K16+100%</f>
        <v>1</v>
      </c>
      <c r="M16" s="299" t="s">
        <v>685</v>
      </c>
      <c r="N16" s="299" t="s">
        <v>686</v>
      </c>
      <c r="O16" s="300" t="s">
        <v>687</v>
      </c>
      <c r="P16" s="111"/>
    </row>
    <row r="17" spans="1:16" ht="99.95" customHeight="1" thickBot="1" x14ac:dyDescent="0.3">
      <c r="A17" s="299"/>
      <c r="B17" s="303"/>
      <c r="C17" s="101" t="s">
        <v>635</v>
      </c>
      <c r="D17" s="22">
        <v>1</v>
      </c>
      <c r="E17" s="23" t="s">
        <v>60</v>
      </c>
      <c r="F17" s="304"/>
      <c r="G17" s="155">
        <v>0</v>
      </c>
      <c r="H17" s="155">
        <v>0</v>
      </c>
      <c r="I17" s="156">
        <v>0</v>
      </c>
      <c r="J17" s="156">
        <f t="shared" ref="J17:J35" si="0">+SUM(G17:I17)</f>
        <v>0</v>
      </c>
      <c r="K17" s="13">
        <f t="shared" ref="K17:K34" si="1">+IFERROR(J17/D17,"-")</f>
        <v>0</v>
      </c>
      <c r="L17" s="13">
        <f>+K17+0%</f>
        <v>0</v>
      </c>
      <c r="M17" s="299"/>
      <c r="N17" s="299"/>
      <c r="O17" s="301"/>
      <c r="P17" s="111"/>
    </row>
    <row r="18" spans="1:16" ht="99.95" customHeight="1" thickBot="1" x14ac:dyDescent="0.3">
      <c r="A18" s="299"/>
      <c r="B18" s="102" t="s">
        <v>636</v>
      </c>
      <c r="C18" s="101" t="s">
        <v>903</v>
      </c>
      <c r="D18" s="24">
        <v>7</v>
      </c>
      <c r="E18" s="23" t="s">
        <v>37</v>
      </c>
      <c r="F18" s="304"/>
      <c r="G18" s="155">
        <v>0</v>
      </c>
      <c r="H18" s="155">
        <v>0</v>
      </c>
      <c r="I18" s="156">
        <v>0</v>
      </c>
      <c r="J18" s="156">
        <f t="shared" si="0"/>
        <v>0</v>
      </c>
      <c r="K18" s="13">
        <f t="shared" si="1"/>
        <v>0</v>
      </c>
      <c r="L18" s="13">
        <f>+K18+100%</f>
        <v>1</v>
      </c>
      <c r="M18" s="299"/>
      <c r="N18" s="299"/>
      <c r="O18" s="301"/>
      <c r="P18" s="111"/>
    </row>
    <row r="19" spans="1:16" ht="99.95" customHeight="1" thickBot="1" x14ac:dyDescent="0.3">
      <c r="A19" s="299"/>
      <c r="B19" s="163" t="s">
        <v>637</v>
      </c>
      <c r="C19" s="101" t="s">
        <v>635</v>
      </c>
      <c r="D19" s="25">
        <v>3</v>
      </c>
      <c r="E19" s="23" t="s">
        <v>60</v>
      </c>
      <c r="F19" s="304"/>
      <c r="G19" s="155">
        <v>0</v>
      </c>
      <c r="H19" s="155">
        <v>0</v>
      </c>
      <c r="I19" s="156">
        <v>0</v>
      </c>
      <c r="J19" s="156">
        <f t="shared" si="0"/>
        <v>0</v>
      </c>
      <c r="K19" s="13">
        <f t="shared" si="1"/>
        <v>0</v>
      </c>
      <c r="L19" s="13">
        <f>+K19+33.3333333333333%</f>
        <v>0.33333333333333298</v>
      </c>
      <c r="M19" s="299"/>
      <c r="N19" s="299"/>
      <c r="O19" s="302"/>
      <c r="P19" s="111"/>
    </row>
    <row r="20" spans="1:16" ht="158.25" customHeight="1" thickBot="1" x14ac:dyDescent="0.3">
      <c r="A20" s="102" t="s">
        <v>638</v>
      </c>
      <c r="B20" s="102" t="s">
        <v>639</v>
      </c>
      <c r="C20" s="101" t="s">
        <v>640</v>
      </c>
      <c r="D20" s="24">
        <v>9</v>
      </c>
      <c r="E20" s="23" t="s">
        <v>37</v>
      </c>
      <c r="F20" s="103" t="s">
        <v>641</v>
      </c>
      <c r="G20" s="155">
        <v>0</v>
      </c>
      <c r="H20" s="155">
        <v>0</v>
      </c>
      <c r="I20" s="156">
        <v>0</v>
      </c>
      <c r="J20" s="156">
        <f t="shared" si="0"/>
        <v>0</v>
      </c>
      <c r="K20" s="13">
        <f t="shared" si="1"/>
        <v>0</v>
      </c>
      <c r="L20" s="13">
        <f>+K20+22.2222222222222%</f>
        <v>0.22222222222222199</v>
      </c>
      <c r="M20" s="102" t="s">
        <v>688</v>
      </c>
      <c r="N20" s="102" t="s">
        <v>689</v>
      </c>
      <c r="O20" s="109" t="s">
        <v>690</v>
      </c>
      <c r="P20" s="111"/>
    </row>
    <row r="21" spans="1:16" ht="161.25" customHeight="1" thickBot="1" x14ac:dyDescent="0.3">
      <c r="A21" s="306" t="s">
        <v>642</v>
      </c>
      <c r="B21" s="306" t="s">
        <v>643</v>
      </c>
      <c r="C21" s="104" t="s">
        <v>644</v>
      </c>
      <c r="D21" s="20">
        <v>1</v>
      </c>
      <c r="E21" s="23" t="s">
        <v>60</v>
      </c>
      <c r="F21" s="103" t="s">
        <v>645</v>
      </c>
      <c r="G21" s="155">
        <v>0</v>
      </c>
      <c r="H21" s="155">
        <v>0</v>
      </c>
      <c r="I21" s="156">
        <v>0</v>
      </c>
      <c r="J21" s="156">
        <f t="shared" si="0"/>
        <v>0</v>
      </c>
      <c r="K21" s="13">
        <f t="shared" si="1"/>
        <v>0</v>
      </c>
      <c r="L21" s="13">
        <f>+K21+0%</f>
        <v>0</v>
      </c>
      <c r="M21" s="102" t="s">
        <v>691</v>
      </c>
      <c r="N21" s="102" t="s">
        <v>692</v>
      </c>
      <c r="O21" s="109" t="s">
        <v>693</v>
      </c>
      <c r="P21" s="111"/>
    </row>
    <row r="22" spans="1:16" ht="159.75" customHeight="1" thickBot="1" x14ac:dyDescent="0.3">
      <c r="A22" s="308"/>
      <c r="B22" s="308"/>
      <c r="C22" s="101" t="s">
        <v>646</v>
      </c>
      <c r="D22" s="20">
        <v>133</v>
      </c>
      <c r="E22" s="23" t="s">
        <v>37</v>
      </c>
      <c r="F22" s="103" t="s">
        <v>647</v>
      </c>
      <c r="G22" s="155">
        <v>0</v>
      </c>
      <c r="H22" s="155">
        <v>0</v>
      </c>
      <c r="I22" s="156">
        <v>0</v>
      </c>
      <c r="J22" s="156">
        <f t="shared" si="0"/>
        <v>0</v>
      </c>
      <c r="K22" s="13">
        <f t="shared" si="1"/>
        <v>0</v>
      </c>
      <c r="L22" s="13">
        <f>+K22+13.5338345864662%</f>
        <v>0.13533834586466201</v>
      </c>
      <c r="M22" s="102" t="s">
        <v>694</v>
      </c>
      <c r="N22" s="102" t="s">
        <v>695</v>
      </c>
      <c r="O22" s="109" t="s">
        <v>696</v>
      </c>
      <c r="P22" s="111"/>
    </row>
    <row r="23" spans="1:16" ht="195.75" customHeight="1" thickBot="1" x14ac:dyDescent="0.3">
      <c r="A23" s="306" t="s">
        <v>642</v>
      </c>
      <c r="B23" s="306" t="s">
        <v>643</v>
      </c>
      <c r="C23" s="159" t="s">
        <v>648</v>
      </c>
      <c r="D23" s="22">
        <v>200</v>
      </c>
      <c r="E23" s="23" t="s">
        <v>37</v>
      </c>
      <c r="F23" s="103" t="s">
        <v>649</v>
      </c>
      <c r="G23" s="155">
        <v>0</v>
      </c>
      <c r="H23" s="155">
        <v>0</v>
      </c>
      <c r="I23" s="156">
        <v>0</v>
      </c>
      <c r="J23" s="156">
        <f t="shared" si="0"/>
        <v>0</v>
      </c>
      <c r="K23" s="13">
        <f t="shared" si="1"/>
        <v>0</v>
      </c>
      <c r="L23" s="13">
        <f>+K23+100%</f>
        <v>1</v>
      </c>
      <c r="M23" s="102" t="s">
        <v>694</v>
      </c>
      <c r="N23" s="102" t="s">
        <v>112</v>
      </c>
      <c r="O23" s="109" t="s">
        <v>697</v>
      </c>
      <c r="P23" s="111"/>
    </row>
    <row r="24" spans="1:16" ht="147" customHeight="1" thickBot="1" x14ac:dyDescent="0.3">
      <c r="A24" s="307"/>
      <c r="B24" s="307"/>
      <c r="C24" s="159" t="s">
        <v>650</v>
      </c>
      <c r="D24" s="24">
        <v>126</v>
      </c>
      <c r="E24" s="23" t="s">
        <v>37</v>
      </c>
      <c r="F24" s="103" t="s">
        <v>651</v>
      </c>
      <c r="G24" s="155">
        <v>0</v>
      </c>
      <c r="H24" s="155">
        <v>0</v>
      </c>
      <c r="I24" s="156">
        <v>0</v>
      </c>
      <c r="J24" s="156">
        <f t="shared" si="0"/>
        <v>0</v>
      </c>
      <c r="K24" s="13">
        <f t="shared" si="1"/>
        <v>0</v>
      </c>
      <c r="L24" s="13">
        <f>+K24+100%</f>
        <v>1</v>
      </c>
      <c r="M24" s="102" t="s">
        <v>698</v>
      </c>
      <c r="N24" s="102" t="s">
        <v>112</v>
      </c>
      <c r="O24" s="109" t="s">
        <v>699</v>
      </c>
      <c r="P24" s="111"/>
    </row>
    <row r="25" spans="1:16" ht="172.5" customHeight="1" thickBot="1" x14ac:dyDescent="0.3">
      <c r="A25" s="308"/>
      <c r="B25" s="308"/>
      <c r="C25" s="105" t="s">
        <v>652</v>
      </c>
      <c r="D25" s="24">
        <v>3</v>
      </c>
      <c r="E25" s="23" t="s">
        <v>37</v>
      </c>
      <c r="F25" s="103" t="s">
        <v>653</v>
      </c>
      <c r="G25" s="155">
        <v>0</v>
      </c>
      <c r="H25" s="155">
        <v>0</v>
      </c>
      <c r="I25" s="156">
        <v>0</v>
      </c>
      <c r="J25" s="156">
        <f t="shared" si="0"/>
        <v>0</v>
      </c>
      <c r="K25" s="13">
        <f t="shared" si="1"/>
        <v>0</v>
      </c>
      <c r="L25" s="13">
        <f>+K25+33.3333333333333%</f>
        <v>0.33333333333333298</v>
      </c>
      <c r="M25" s="102" t="s">
        <v>700</v>
      </c>
      <c r="N25" s="102" t="s">
        <v>695</v>
      </c>
      <c r="O25" s="103" t="s">
        <v>701</v>
      </c>
      <c r="P25" s="111"/>
    </row>
    <row r="26" spans="1:16" ht="222.75" customHeight="1" thickBot="1" x14ac:dyDescent="0.3">
      <c r="A26" s="305" t="s">
        <v>654</v>
      </c>
      <c r="B26" s="160" t="s">
        <v>655</v>
      </c>
      <c r="C26" s="107" t="s">
        <v>656</v>
      </c>
      <c r="D26" s="24">
        <v>74</v>
      </c>
      <c r="E26" s="23" t="s">
        <v>37</v>
      </c>
      <c r="F26" s="103" t="s">
        <v>657</v>
      </c>
      <c r="G26" s="155">
        <v>25</v>
      </c>
      <c r="H26" s="155">
        <v>0</v>
      </c>
      <c r="I26" s="156">
        <v>0</v>
      </c>
      <c r="J26" s="156">
        <f t="shared" si="0"/>
        <v>25</v>
      </c>
      <c r="K26" s="13">
        <f t="shared" si="1"/>
        <v>0.33783783783783783</v>
      </c>
      <c r="L26" s="13">
        <f>+K26+17.5675675675676%</f>
        <v>0.51351351351351382</v>
      </c>
      <c r="M26" s="102" t="s">
        <v>702</v>
      </c>
      <c r="N26" s="102" t="s">
        <v>695</v>
      </c>
      <c r="O26" s="109" t="s">
        <v>703</v>
      </c>
      <c r="P26" s="111"/>
    </row>
    <row r="27" spans="1:16" ht="168" customHeight="1" thickBot="1" x14ac:dyDescent="0.3">
      <c r="A27" s="305"/>
      <c r="B27" s="106" t="s">
        <v>658</v>
      </c>
      <c r="C27" s="107" t="s">
        <v>659</v>
      </c>
      <c r="D27" s="24">
        <v>1</v>
      </c>
      <c r="E27" s="23" t="s">
        <v>37</v>
      </c>
      <c r="F27" s="103" t="s">
        <v>660</v>
      </c>
      <c r="G27" s="155">
        <v>0</v>
      </c>
      <c r="H27" s="155">
        <v>0</v>
      </c>
      <c r="I27" s="156">
        <v>0</v>
      </c>
      <c r="J27" s="156">
        <f t="shared" si="0"/>
        <v>0</v>
      </c>
      <c r="K27" s="13">
        <f t="shared" si="1"/>
        <v>0</v>
      </c>
      <c r="L27" s="13">
        <f>+K27+100%</f>
        <v>1</v>
      </c>
      <c r="M27" s="102" t="s">
        <v>702</v>
      </c>
      <c r="N27" s="102" t="s">
        <v>704</v>
      </c>
      <c r="O27" s="109" t="s">
        <v>904</v>
      </c>
      <c r="P27" s="111"/>
    </row>
    <row r="28" spans="1:16" ht="409.6" customHeight="1" thickBot="1" x14ac:dyDescent="0.3">
      <c r="A28" s="305"/>
      <c r="B28" s="159" t="s">
        <v>661</v>
      </c>
      <c r="C28" s="101" t="s">
        <v>662</v>
      </c>
      <c r="D28" s="24">
        <v>3</v>
      </c>
      <c r="E28" s="23" t="s">
        <v>37</v>
      </c>
      <c r="F28" s="108" t="s">
        <v>663</v>
      </c>
      <c r="G28" s="155">
        <v>0</v>
      </c>
      <c r="H28" s="155">
        <v>0</v>
      </c>
      <c r="I28" s="156">
        <v>0</v>
      </c>
      <c r="J28" s="156">
        <f t="shared" si="0"/>
        <v>0</v>
      </c>
      <c r="K28" s="13">
        <f t="shared" si="1"/>
        <v>0</v>
      </c>
      <c r="L28" s="13">
        <f>+K28+33.3333333333333%</f>
        <v>0.33333333333333298</v>
      </c>
      <c r="M28" s="169" t="s">
        <v>691</v>
      </c>
      <c r="N28" s="102" t="s">
        <v>705</v>
      </c>
      <c r="O28" s="108" t="s">
        <v>706</v>
      </c>
      <c r="P28" s="111"/>
    </row>
    <row r="29" spans="1:16" ht="293.25" customHeight="1" thickBot="1" x14ac:dyDescent="0.3">
      <c r="A29" s="306" t="s">
        <v>664</v>
      </c>
      <c r="B29" s="305" t="s">
        <v>665</v>
      </c>
      <c r="C29" s="102" t="s">
        <v>666</v>
      </c>
      <c r="D29" s="25">
        <v>2</v>
      </c>
      <c r="E29" s="23" t="s">
        <v>60</v>
      </c>
      <c r="F29" s="109" t="s">
        <v>667</v>
      </c>
      <c r="G29" s="155">
        <v>0</v>
      </c>
      <c r="H29" s="155">
        <v>0</v>
      </c>
      <c r="I29" s="156">
        <v>0</v>
      </c>
      <c r="J29" s="156">
        <f t="shared" si="0"/>
        <v>0</v>
      </c>
      <c r="K29" s="13">
        <f t="shared" si="1"/>
        <v>0</v>
      </c>
      <c r="L29" s="13">
        <f>+K29+0%</f>
        <v>0</v>
      </c>
      <c r="M29" s="309" t="s">
        <v>691</v>
      </c>
      <c r="N29" s="102" t="s">
        <v>707</v>
      </c>
      <c r="O29" s="109" t="s">
        <v>708</v>
      </c>
      <c r="P29" s="111"/>
    </row>
    <row r="30" spans="1:16" ht="272.25" customHeight="1" thickBot="1" x14ac:dyDescent="0.3">
      <c r="A30" s="307"/>
      <c r="B30" s="305"/>
      <c r="C30" s="102" t="s">
        <v>668</v>
      </c>
      <c r="D30" s="25">
        <v>1</v>
      </c>
      <c r="E30" s="23" t="s">
        <v>60</v>
      </c>
      <c r="F30" s="108" t="s">
        <v>669</v>
      </c>
      <c r="G30" s="155">
        <v>0</v>
      </c>
      <c r="H30" s="155">
        <v>0</v>
      </c>
      <c r="I30" s="156">
        <v>0</v>
      </c>
      <c r="J30" s="156">
        <f t="shared" si="0"/>
        <v>0</v>
      </c>
      <c r="K30" s="13">
        <f t="shared" si="1"/>
        <v>0</v>
      </c>
      <c r="L30" s="13">
        <f>+K30+0%</f>
        <v>0</v>
      </c>
      <c r="M30" s="310"/>
      <c r="N30" s="102" t="s">
        <v>709</v>
      </c>
      <c r="O30" s="108" t="s">
        <v>710</v>
      </c>
      <c r="P30" s="111"/>
    </row>
    <row r="31" spans="1:16" ht="395.25" customHeight="1" thickBot="1" x14ac:dyDescent="0.3">
      <c r="A31" s="307"/>
      <c r="B31" s="305"/>
      <c r="C31" s="102" t="s">
        <v>670</v>
      </c>
      <c r="D31" s="25">
        <v>2</v>
      </c>
      <c r="E31" s="23" t="s">
        <v>37</v>
      </c>
      <c r="F31" s="109" t="s">
        <v>671</v>
      </c>
      <c r="G31" s="155">
        <v>0</v>
      </c>
      <c r="H31" s="155">
        <v>0</v>
      </c>
      <c r="I31" s="156">
        <v>0</v>
      </c>
      <c r="J31" s="156">
        <f t="shared" si="0"/>
        <v>0</v>
      </c>
      <c r="K31" s="13">
        <f t="shared" si="1"/>
        <v>0</v>
      </c>
      <c r="L31" s="13">
        <f>+K31+50%</f>
        <v>0.5</v>
      </c>
      <c r="M31" s="310"/>
      <c r="N31" s="102" t="s">
        <v>705</v>
      </c>
      <c r="O31" s="109" t="s">
        <v>711</v>
      </c>
      <c r="P31" s="111"/>
    </row>
    <row r="32" spans="1:16" ht="409.6" customHeight="1" thickBot="1" x14ac:dyDescent="0.3">
      <c r="A32" s="307"/>
      <c r="B32" s="305"/>
      <c r="C32" s="102" t="s">
        <v>672</v>
      </c>
      <c r="D32" s="25">
        <v>3</v>
      </c>
      <c r="E32" s="23" t="s">
        <v>60</v>
      </c>
      <c r="F32" s="108" t="s">
        <v>673</v>
      </c>
      <c r="G32" s="155">
        <v>0</v>
      </c>
      <c r="H32" s="155">
        <v>0</v>
      </c>
      <c r="I32" s="156">
        <v>0</v>
      </c>
      <c r="J32" s="156">
        <f t="shared" si="0"/>
        <v>0</v>
      </c>
      <c r="K32" s="13">
        <f t="shared" si="1"/>
        <v>0</v>
      </c>
      <c r="L32" s="13">
        <f>+K32+0%</f>
        <v>0</v>
      </c>
      <c r="M32" s="310"/>
      <c r="N32" s="102" t="s">
        <v>705</v>
      </c>
      <c r="O32" s="108" t="s">
        <v>712</v>
      </c>
      <c r="P32" s="111"/>
    </row>
    <row r="33" spans="1:16" ht="99.95" customHeight="1" thickBot="1" x14ac:dyDescent="0.3">
      <c r="A33" s="308"/>
      <c r="B33" s="305"/>
      <c r="C33" s="101" t="s">
        <v>674</v>
      </c>
      <c r="D33" s="25">
        <v>12</v>
      </c>
      <c r="E33" s="23" t="s">
        <v>60</v>
      </c>
      <c r="F33" s="108" t="s">
        <v>675</v>
      </c>
      <c r="G33" s="155">
        <v>0</v>
      </c>
      <c r="H33" s="155">
        <v>0</v>
      </c>
      <c r="I33" s="156">
        <v>0</v>
      </c>
      <c r="J33" s="156">
        <f t="shared" si="0"/>
        <v>0</v>
      </c>
      <c r="K33" s="13">
        <f t="shared" si="1"/>
        <v>0</v>
      </c>
      <c r="L33" s="13">
        <f>+K33+25%</f>
        <v>0.25</v>
      </c>
      <c r="M33" s="336"/>
      <c r="N33" s="102" t="s">
        <v>698</v>
      </c>
      <c r="O33" s="108" t="s">
        <v>713</v>
      </c>
      <c r="P33" s="111"/>
    </row>
    <row r="34" spans="1:16" ht="279.75" customHeight="1" thickBot="1" x14ac:dyDescent="0.3">
      <c r="A34" s="306" t="s">
        <v>664</v>
      </c>
      <c r="B34" s="305" t="s">
        <v>676</v>
      </c>
      <c r="C34" s="104" t="s">
        <v>677</v>
      </c>
      <c r="D34" s="25">
        <v>1</v>
      </c>
      <c r="E34" s="23" t="s">
        <v>37</v>
      </c>
      <c r="F34" s="110" t="s">
        <v>678</v>
      </c>
      <c r="G34" s="155">
        <v>0</v>
      </c>
      <c r="H34" s="155">
        <v>0</v>
      </c>
      <c r="I34" s="156">
        <v>0</v>
      </c>
      <c r="J34" s="156">
        <f t="shared" si="0"/>
        <v>0</v>
      </c>
      <c r="K34" s="13">
        <f t="shared" si="1"/>
        <v>0</v>
      </c>
      <c r="L34" s="13">
        <f>+K34+0%</f>
        <v>0</v>
      </c>
      <c r="M34" s="311" t="s">
        <v>691</v>
      </c>
      <c r="N34" s="102" t="s">
        <v>707</v>
      </c>
      <c r="O34" s="109" t="s">
        <v>714</v>
      </c>
      <c r="P34" s="111"/>
    </row>
    <row r="35" spans="1:16" ht="344.25" customHeight="1" thickBot="1" x14ac:dyDescent="0.3">
      <c r="A35" s="307"/>
      <c r="B35" s="305"/>
      <c r="C35" s="104" t="s">
        <v>679</v>
      </c>
      <c r="D35" s="25">
        <v>3</v>
      </c>
      <c r="E35" s="23" t="s">
        <v>37</v>
      </c>
      <c r="F35" s="110" t="s">
        <v>680</v>
      </c>
      <c r="G35" s="155">
        <v>0</v>
      </c>
      <c r="H35" s="155">
        <v>0</v>
      </c>
      <c r="I35" s="156">
        <v>0</v>
      </c>
      <c r="J35" s="156">
        <f t="shared" si="0"/>
        <v>0</v>
      </c>
      <c r="K35" s="13">
        <f>+IFERROR(J35/D35,"-")</f>
        <v>0</v>
      </c>
      <c r="L35" s="13">
        <f>+K35+100%</f>
        <v>1</v>
      </c>
      <c r="M35" s="312"/>
      <c r="N35" s="102" t="s">
        <v>707</v>
      </c>
      <c r="O35" s="108" t="s">
        <v>715</v>
      </c>
      <c r="P35" s="111"/>
    </row>
    <row r="36" spans="1:16" ht="99.95" customHeight="1" thickBot="1" x14ac:dyDescent="0.3">
      <c r="A36" s="307"/>
      <c r="B36" s="305"/>
      <c r="C36" s="104" t="s">
        <v>681</v>
      </c>
      <c r="D36" s="25">
        <v>1</v>
      </c>
      <c r="E36" s="23" t="s">
        <v>37</v>
      </c>
      <c r="F36" s="110" t="s">
        <v>682</v>
      </c>
      <c r="G36" s="155">
        <v>0</v>
      </c>
      <c r="H36" s="155">
        <v>0</v>
      </c>
      <c r="I36" s="156">
        <v>0</v>
      </c>
      <c r="J36" s="156">
        <f t="shared" ref="J36:J37" si="2">+SUM(G36:I36)</f>
        <v>0</v>
      </c>
      <c r="K36" s="13">
        <f t="shared" ref="K36:K37" si="3">+IFERROR(J36/D36,"-")</f>
        <v>0</v>
      </c>
      <c r="L36" s="13">
        <f>+K36+100%</f>
        <v>1</v>
      </c>
      <c r="M36" s="312"/>
      <c r="N36" s="112" t="s">
        <v>716</v>
      </c>
      <c r="O36" s="109" t="s">
        <v>717</v>
      </c>
      <c r="P36" s="111"/>
    </row>
    <row r="37" spans="1:16" ht="99.95" customHeight="1" thickBot="1" x14ac:dyDescent="0.3">
      <c r="A37" s="308"/>
      <c r="B37" s="305"/>
      <c r="C37" s="101" t="s">
        <v>683</v>
      </c>
      <c r="D37" s="25">
        <v>1</v>
      </c>
      <c r="E37" s="23" t="s">
        <v>37</v>
      </c>
      <c r="F37" s="108" t="s">
        <v>684</v>
      </c>
      <c r="G37" s="155">
        <v>0</v>
      </c>
      <c r="H37" s="155">
        <v>0</v>
      </c>
      <c r="I37" s="156">
        <v>0</v>
      </c>
      <c r="J37" s="156">
        <f t="shared" si="2"/>
        <v>0</v>
      </c>
      <c r="K37" s="13">
        <f t="shared" si="3"/>
        <v>0</v>
      </c>
      <c r="L37" s="13">
        <f>+K37+0%</f>
        <v>0</v>
      </c>
      <c r="M37" s="313"/>
      <c r="N37" s="102" t="s">
        <v>112</v>
      </c>
      <c r="O37" s="108" t="s">
        <v>718</v>
      </c>
      <c r="P37" s="111"/>
    </row>
    <row r="38" spans="1:16" x14ac:dyDescent="0.25">
      <c r="A38" s="14"/>
      <c r="B38" s="14"/>
      <c r="C38" s="14"/>
      <c r="D38" s="14"/>
      <c r="E38" s="14"/>
      <c r="F38" s="15"/>
      <c r="G38" s="14"/>
      <c r="H38" s="14"/>
      <c r="I38" s="14"/>
      <c r="J38" s="14"/>
      <c r="K38" s="14"/>
      <c r="L38" s="14"/>
      <c r="M38" s="15"/>
      <c r="N38" s="15"/>
      <c r="O38" s="15"/>
    </row>
    <row r="39" spans="1:16" x14ac:dyDescent="0.25">
      <c r="A39" s="14"/>
      <c r="B39" s="14"/>
      <c r="C39" s="14"/>
      <c r="D39" s="14"/>
      <c r="E39" s="14"/>
      <c r="F39" s="15"/>
      <c r="G39" s="14"/>
      <c r="H39" s="14"/>
      <c r="I39" s="14"/>
      <c r="J39" s="14"/>
      <c r="K39" s="14"/>
      <c r="L39" s="14"/>
      <c r="M39" s="15"/>
      <c r="N39" s="15"/>
      <c r="O39" s="15"/>
    </row>
    <row r="40" spans="1:16" x14ac:dyDescent="0.25">
      <c r="A40" s="15"/>
      <c r="B40" s="15"/>
      <c r="C40" s="15"/>
      <c r="D40" s="15"/>
      <c r="E40" s="15"/>
      <c r="F40" s="15"/>
      <c r="G40" s="15"/>
      <c r="H40" s="15"/>
      <c r="I40" s="15"/>
      <c r="J40" s="15"/>
      <c r="K40" s="15"/>
      <c r="L40" s="15"/>
      <c r="M40" s="15"/>
      <c r="N40" s="15"/>
      <c r="O40" s="15"/>
    </row>
    <row r="41" spans="1:16" x14ac:dyDescent="0.25">
      <c r="A41" s="15"/>
      <c r="B41" s="15"/>
      <c r="C41" s="15"/>
      <c r="D41" s="15"/>
      <c r="E41" s="15"/>
      <c r="F41" s="15"/>
      <c r="G41" s="15"/>
      <c r="H41" s="15"/>
      <c r="I41" s="15"/>
      <c r="J41" s="15"/>
      <c r="K41" s="15"/>
      <c r="L41" s="15"/>
      <c r="M41" s="15"/>
      <c r="N41" s="15"/>
      <c r="O41" s="15"/>
    </row>
    <row r="42" spans="1:16" x14ac:dyDescent="0.25">
      <c r="A42" s="15"/>
      <c r="B42" s="15"/>
      <c r="C42" s="15"/>
      <c r="D42" s="15"/>
      <c r="E42" s="15"/>
      <c r="F42" s="15"/>
      <c r="G42" s="15"/>
      <c r="H42" s="15"/>
      <c r="I42" s="15"/>
      <c r="J42" s="15"/>
      <c r="K42" s="15"/>
      <c r="L42" s="15"/>
      <c r="M42" s="15"/>
      <c r="N42" s="15"/>
      <c r="O42" s="15"/>
    </row>
    <row r="43" spans="1:16" x14ac:dyDescent="0.25">
      <c r="A43" s="15"/>
      <c r="B43" s="15"/>
      <c r="C43" s="15"/>
      <c r="D43" s="15"/>
      <c r="E43" s="15"/>
      <c r="F43" s="15"/>
      <c r="G43" s="15"/>
      <c r="H43" s="15"/>
      <c r="I43" s="15"/>
      <c r="J43" s="15"/>
      <c r="K43" s="15"/>
      <c r="L43" s="15"/>
      <c r="M43" s="15"/>
      <c r="N43" s="15"/>
      <c r="O43" s="15"/>
    </row>
    <row r="44" spans="1:16" x14ac:dyDescent="0.25">
      <c r="A44" s="15"/>
      <c r="B44" s="15"/>
      <c r="C44" s="15"/>
      <c r="D44" s="15"/>
      <c r="E44" s="15"/>
      <c r="F44" s="15"/>
      <c r="G44" s="15"/>
      <c r="H44" s="15"/>
      <c r="I44" s="15"/>
      <c r="J44" s="15"/>
      <c r="K44" s="15"/>
      <c r="L44" s="15"/>
      <c r="M44" s="15"/>
      <c r="N44" s="15"/>
      <c r="O44" s="15"/>
    </row>
    <row r="45" spans="1:16" x14ac:dyDescent="0.25">
      <c r="A45" s="15"/>
      <c r="B45" s="15"/>
      <c r="C45" s="15"/>
      <c r="D45" s="15"/>
      <c r="E45" s="15"/>
      <c r="F45" s="15"/>
      <c r="G45" s="15"/>
      <c r="H45" s="15"/>
      <c r="I45" s="15"/>
      <c r="J45" s="15"/>
      <c r="K45" s="15"/>
      <c r="L45" s="15"/>
      <c r="M45" s="15"/>
      <c r="N45" s="15"/>
      <c r="O45" s="15"/>
    </row>
    <row r="46" spans="1:16" ht="15" customHeight="1" x14ac:dyDescent="0.25">
      <c r="A46" s="277"/>
      <c r="B46" s="277"/>
      <c r="C46" s="277"/>
      <c r="D46" s="277"/>
      <c r="E46" s="277"/>
      <c r="F46" s="277"/>
      <c r="G46" s="277"/>
      <c r="H46" s="277"/>
      <c r="I46" s="277"/>
      <c r="J46" s="277"/>
      <c r="K46" s="16"/>
      <c r="L46" s="16"/>
    </row>
    <row r="47" spans="1:16" x14ac:dyDescent="0.25">
      <c r="A47" s="277"/>
      <c r="B47" s="277"/>
      <c r="C47" s="277"/>
      <c r="D47" s="277"/>
      <c r="E47" s="277"/>
      <c r="F47" s="277"/>
      <c r="G47" s="277"/>
      <c r="H47" s="277"/>
      <c r="I47" s="277"/>
      <c r="J47" s="277"/>
      <c r="K47" s="16"/>
      <c r="L47" s="16"/>
    </row>
  </sheetData>
  <mergeCells count="32">
    <mergeCell ref="B34:B37"/>
    <mergeCell ref="M16:M19"/>
    <mergeCell ref="A12:P13"/>
    <mergeCell ref="A6:P6"/>
    <mergeCell ref="A7:P7"/>
    <mergeCell ref="A8:P8"/>
    <mergeCell ref="A9:P9"/>
    <mergeCell ref="A10:P11"/>
    <mergeCell ref="A34:A37"/>
    <mergeCell ref="M29:M33"/>
    <mergeCell ref="M34:M37"/>
    <mergeCell ref="A21:A22"/>
    <mergeCell ref="A23:A25"/>
    <mergeCell ref="B21:B22"/>
    <mergeCell ref="B23:B25"/>
    <mergeCell ref="A29:A33"/>
    <mergeCell ref="N16:N19"/>
    <mergeCell ref="O16:O19"/>
    <mergeCell ref="O14:O15"/>
    <mergeCell ref="P14:P15"/>
    <mergeCell ref="A46:J47"/>
    <mergeCell ref="A16:A19"/>
    <mergeCell ref="B16:B17"/>
    <mergeCell ref="F16:F19"/>
    <mergeCell ref="A26:A28"/>
    <mergeCell ref="A14:A15"/>
    <mergeCell ref="B14:E14"/>
    <mergeCell ref="F14:F15"/>
    <mergeCell ref="G14:L14"/>
    <mergeCell ref="M14:M15"/>
    <mergeCell ref="N14:N15"/>
    <mergeCell ref="B29:B33"/>
  </mergeCells>
  <printOptions horizontalCentered="1" verticalCentered="1"/>
  <pageMargins left="0.05" right="0.05" top="0.37" bottom="0.38" header="0.3" footer="0.23"/>
  <pageSetup scale="33" fitToHeight="0" orientation="landscape" r:id="rId1"/>
  <rowBreaks count="3" manualBreakCount="3">
    <brk id="22" max="15" man="1"/>
    <brk id="28" max="15" man="1"/>
    <brk id="33" max="15" man="1"/>
  </rowBreaks>
  <ignoredErrors>
    <ignoredError sqref="L17" 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P34"/>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37.425781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25.140625" style="10" customWidth="1"/>
    <col min="15" max="15" width="33.2851562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98</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113" t="s">
        <v>719</v>
      </c>
      <c r="B16" s="114" t="s">
        <v>720</v>
      </c>
      <c r="C16" s="115" t="s">
        <v>721</v>
      </c>
      <c r="D16" s="20">
        <v>145</v>
      </c>
      <c r="E16" s="87" t="s">
        <v>37</v>
      </c>
      <c r="F16" s="116" t="s">
        <v>722</v>
      </c>
      <c r="G16" s="155">
        <v>5</v>
      </c>
      <c r="H16" s="155">
        <v>15</v>
      </c>
      <c r="I16" s="156">
        <v>24</v>
      </c>
      <c r="J16" s="156">
        <f>+SUM(G16:I16)</f>
        <v>44</v>
      </c>
      <c r="K16" s="13">
        <f>+IFERROR(J16/D16,"-")</f>
        <v>0.30344827586206896</v>
      </c>
      <c r="L16" s="13">
        <f>+K16+68.9655172413793%</f>
        <v>0.99310344827586206</v>
      </c>
      <c r="M16" s="117" t="s">
        <v>747</v>
      </c>
      <c r="N16" s="117" t="s">
        <v>748</v>
      </c>
      <c r="O16" s="119" t="s">
        <v>749</v>
      </c>
      <c r="P16" s="120"/>
    </row>
    <row r="17" spans="1:16" ht="128.25" customHeight="1" thickBot="1" x14ac:dyDescent="0.3">
      <c r="A17" s="117" t="s">
        <v>723</v>
      </c>
      <c r="B17" s="115" t="s">
        <v>724</v>
      </c>
      <c r="C17" s="115" t="s">
        <v>725</v>
      </c>
      <c r="D17" s="22">
        <v>71</v>
      </c>
      <c r="E17" s="87" t="s">
        <v>37</v>
      </c>
      <c r="F17" s="116" t="s">
        <v>726</v>
      </c>
      <c r="G17" s="155">
        <v>3</v>
      </c>
      <c r="H17" s="155">
        <v>2</v>
      </c>
      <c r="I17" s="156">
        <v>0</v>
      </c>
      <c r="J17" s="156">
        <f t="shared" ref="J17:J22" si="0">+SUM(G17:I17)</f>
        <v>5</v>
      </c>
      <c r="K17" s="13">
        <f t="shared" ref="K17:K22" si="1">+IFERROR(J17/D17,"-")</f>
        <v>7.0422535211267609E-2</v>
      </c>
      <c r="L17" s="13">
        <f>+K17+70.4225352112676%</f>
        <v>0.77464788732394363</v>
      </c>
      <c r="M17" s="117" t="s">
        <v>750</v>
      </c>
      <c r="N17" s="117" t="s">
        <v>751</v>
      </c>
      <c r="O17" s="119" t="s">
        <v>752</v>
      </c>
      <c r="P17" s="120"/>
    </row>
    <row r="18" spans="1:16" ht="99.95" customHeight="1" thickBot="1" x14ac:dyDescent="0.3">
      <c r="A18" s="117" t="s">
        <v>727</v>
      </c>
      <c r="B18" s="115" t="s">
        <v>728</v>
      </c>
      <c r="C18" s="115" t="s">
        <v>729</v>
      </c>
      <c r="D18" s="24">
        <v>16</v>
      </c>
      <c r="E18" s="87" t="s">
        <v>37</v>
      </c>
      <c r="F18" s="116" t="s">
        <v>730</v>
      </c>
      <c r="G18" s="155">
        <v>1</v>
      </c>
      <c r="H18" s="155">
        <v>1</v>
      </c>
      <c r="I18" s="156">
        <v>0</v>
      </c>
      <c r="J18" s="156">
        <f t="shared" si="0"/>
        <v>2</v>
      </c>
      <c r="K18" s="13">
        <f t="shared" si="1"/>
        <v>0.125</v>
      </c>
      <c r="L18" s="13">
        <f>+K18+25%</f>
        <v>0.375</v>
      </c>
      <c r="M18" s="117" t="s">
        <v>342</v>
      </c>
      <c r="N18" s="117" t="s">
        <v>751</v>
      </c>
      <c r="O18" s="119" t="s">
        <v>753</v>
      </c>
      <c r="P18" s="120"/>
    </row>
    <row r="19" spans="1:16" ht="99.95" customHeight="1" thickBot="1" x14ac:dyDescent="0.3">
      <c r="A19" s="117" t="s">
        <v>731</v>
      </c>
      <c r="B19" s="114" t="s">
        <v>732</v>
      </c>
      <c r="C19" s="115" t="s">
        <v>733</v>
      </c>
      <c r="D19" s="25">
        <v>10</v>
      </c>
      <c r="E19" s="87" t="s">
        <v>37</v>
      </c>
      <c r="F19" s="116" t="s">
        <v>734</v>
      </c>
      <c r="G19" s="155">
        <v>8</v>
      </c>
      <c r="H19" s="155">
        <v>7</v>
      </c>
      <c r="I19" s="156">
        <v>1</v>
      </c>
      <c r="J19" s="156">
        <f t="shared" si="0"/>
        <v>16</v>
      </c>
      <c r="K19" s="13">
        <f t="shared" si="1"/>
        <v>1.6</v>
      </c>
      <c r="L19" s="13">
        <f>+K19+140%</f>
        <v>3</v>
      </c>
      <c r="M19" s="117" t="s">
        <v>754</v>
      </c>
      <c r="N19" s="117" t="s">
        <v>755</v>
      </c>
      <c r="O19" s="119" t="s">
        <v>756</v>
      </c>
      <c r="P19" s="120"/>
    </row>
    <row r="20" spans="1:16" ht="99.95" customHeight="1" thickBot="1" x14ac:dyDescent="0.3">
      <c r="A20" s="117" t="s">
        <v>735</v>
      </c>
      <c r="B20" s="118" t="s">
        <v>736</v>
      </c>
      <c r="C20" s="115" t="s">
        <v>737</v>
      </c>
      <c r="D20" s="24">
        <v>2</v>
      </c>
      <c r="E20" s="87" t="s">
        <v>37</v>
      </c>
      <c r="F20" s="116" t="s">
        <v>738</v>
      </c>
      <c r="G20" s="155">
        <v>0</v>
      </c>
      <c r="H20" s="155">
        <v>1</v>
      </c>
      <c r="I20" s="156">
        <v>0</v>
      </c>
      <c r="J20" s="156">
        <f t="shared" si="0"/>
        <v>1</v>
      </c>
      <c r="K20" s="13">
        <f t="shared" si="1"/>
        <v>0.5</v>
      </c>
      <c r="L20" s="13">
        <f>+K20+150%</f>
        <v>2</v>
      </c>
      <c r="M20" s="117" t="s">
        <v>81</v>
      </c>
      <c r="N20" s="117" t="s">
        <v>751</v>
      </c>
      <c r="O20" s="119" t="s">
        <v>757</v>
      </c>
      <c r="P20" s="120"/>
    </row>
    <row r="21" spans="1:16" ht="127.5" customHeight="1" thickBot="1" x14ac:dyDescent="0.3">
      <c r="A21" s="117" t="s">
        <v>739</v>
      </c>
      <c r="B21" s="118" t="s">
        <v>740</v>
      </c>
      <c r="C21" s="115" t="s">
        <v>741</v>
      </c>
      <c r="D21" s="20">
        <v>47</v>
      </c>
      <c r="E21" s="87" t="s">
        <v>60</v>
      </c>
      <c r="F21" s="116" t="s">
        <v>742</v>
      </c>
      <c r="G21" s="155">
        <v>0</v>
      </c>
      <c r="H21" s="155">
        <v>1</v>
      </c>
      <c r="I21" s="156">
        <v>1</v>
      </c>
      <c r="J21" s="156">
        <f t="shared" si="0"/>
        <v>2</v>
      </c>
      <c r="K21" s="13">
        <f t="shared" si="1"/>
        <v>4.2553191489361701E-2</v>
      </c>
      <c r="L21" s="13">
        <f>+K21+21.2765957446808%</f>
        <v>0.25531914893616969</v>
      </c>
      <c r="M21" s="117" t="s">
        <v>751</v>
      </c>
      <c r="N21" s="117" t="s">
        <v>751</v>
      </c>
      <c r="O21" s="119" t="s">
        <v>758</v>
      </c>
      <c r="P21" s="120"/>
    </row>
    <row r="22" spans="1:16" ht="99.95" customHeight="1" thickBot="1" x14ac:dyDescent="0.3">
      <c r="A22" s="117" t="s">
        <v>743</v>
      </c>
      <c r="B22" s="118" t="s">
        <v>744</v>
      </c>
      <c r="C22" s="115" t="s">
        <v>745</v>
      </c>
      <c r="D22" s="20">
        <v>137</v>
      </c>
      <c r="E22" s="87" t="s">
        <v>60</v>
      </c>
      <c r="F22" s="116" t="s">
        <v>746</v>
      </c>
      <c r="G22" s="155">
        <v>100</v>
      </c>
      <c r="H22" s="155">
        <v>65</v>
      </c>
      <c r="I22" s="156">
        <v>60</v>
      </c>
      <c r="J22" s="156">
        <f t="shared" si="0"/>
        <v>225</v>
      </c>
      <c r="K22" s="13">
        <f t="shared" si="1"/>
        <v>1.6423357664233578</v>
      </c>
      <c r="L22" s="13">
        <f>+K22+605.839416058394%</f>
        <v>7.7007299270072984</v>
      </c>
      <c r="M22" s="117" t="s">
        <v>751</v>
      </c>
      <c r="N22" s="117" t="s">
        <v>759</v>
      </c>
      <c r="O22" s="119" t="s">
        <v>760</v>
      </c>
      <c r="P22" s="120"/>
    </row>
    <row r="23" spans="1:16" x14ac:dyDescent="0.25">
      <c r="A23" s="14"/>
      <c r="B23" s="14"/>
      <c r="C23" s="14"/>
      <c r="D23" s="14"/>
      <c r="E23" s="14"/>
      <c r="F23" s="15"/>
      <c r="G23" s="14"/>
      <c r="H23" s="14"/>
      <c r="I23" s="14"/>
      <c r="J23" s="14"/>
      <c r="K23" s="14"/>
      <c r="L23" s="14"/>
      <c r="M23" s="15"/>
      <c r="N23" s="15"/>
      <c r="O23" s="15"/>
    </row>
    <row r="24" spans="1:16" x14ac:dyDescent="0.25">
      <c r="A24" s="14"/>
      <c r="B24" s="14"/>
      <c r="C24" s="14"/>
      <c r="D24" s="14"/>
      <c r="E24" s="14"/>
      <c r="F24" s="15"/>
      <c r="G24" s="14"/>
      <c r="H24" s="14"/>
      <c r="I24" s="14"/>
      <c r="J24" s="14"/>
      <c r="K24" s="14"/>
      <c r="L24" s="14"/>
      <c r="M24" s="15"/>
      <c r="N24" s="15"/>
      <c r="O24" s="15"/>
    </row>
    <row r="25" spans="1:16" x14ac:dyDescent="0.25">
      <c r="A25" s="14"/>
      <c r="B25" s="14"/>
      <c r="C25" s="14"/>
      <c r="D25" s="14"/>
      <c r="E25" s="14"/>
      <c r="F25" s="15"/>
      <c r="G25" s="14"/>
      <c r="H25" s="14"/>
      <c r="I25" s="14"/>
      <c r="J25" s="14"/>
      <c r="K25" s="14"/>
      <c r="L25" s="14"/>
      <c r="M25" s="15"/>
      <c r="N25" s="15"/>
      <c r="O25" s="15"/>
    </row>
    <row r="26" spans="1:16" x14ac:dyDescent="0.25">
      <c r="A26" s="14"/>
      <c r="B26" s="14"/>
      <c r="C26" s="14"/>
      <c r="D26" s="14"/>
      <c r="E26" s="14"/>
      <c r="F26" s="15"/>
      <c r="G26" s="14"/>
      <c r="H26" s="14"/>
      <c r="I26" s="14"/>
      <c r="J26" s="14"/>
      <c r="K26" s="14"/>
      <c r="L26" s="14"/>
      <c r="M26" s="15"/>
      <c r="N26" s="15"/>
      <c r="O26" s="15"/>
    </row>
    <row r="27" spans="1:16" x14ac:dyDescent="0.25">
      <c r="A27" s="15"/>
      <c r="B27" s="15"/>
      <c r="C27" s="15"/>
      <c r="D27" s="15"/>
      <c r="E27" s="15"/>
      <c r="F27" s="15"/>
      <c r="G27" s="15"/>
      <c r="H27" s="15"/>
      <c r="I27" s="15"/>
      <c r="J27" s="15"/>
      <c r="K27" s="15"/>
      <c r="L27" s="15"/>
      <c r="M27" s="15"/>
      <c r="N27" s="15"/>
      <c r="O27" s="15"/>
    </row>
    <row r="28" spans="1:16" x14ac:dyDescent="0.25">
      <c r="A28" s="15"/>
      <c r="B28" s="15"/>
      <c r="C28" s="15"/>
      <c r="D28" s="15"/>
      <c r="E28" s="15"/>
      <c r="F28" s="15"/>
      <c r="G28" s="15"/>
      <c r="H28" s="15"/>
      <c r="I28" s="15"/>
      <c r="J28" s="15"/>
      <c r="K28" s="15"/>
      <c r="L28" s="15"/>
      <c r="M28" s="15"/>
      <c r="N28" s="15"/>
      <c r="O28" s="15"/>
    </row>
    <row r="29" spans="1:16" x14ac:dyDescent="0.25">
      <c r="A29" s="15"/>
      <c r="B29" s="15"/>
      <c r="C29" s="15"/>
      <c r="D29" s="15"/>
      <c r="E29" s="15"/>
      <c r="F29" s="15"/>
      <c r="G29" s="15"/>
      <c r="H29" s="15"/>
      <c r="I29" s="15"/>
      <c r="J29" s="15"/>
      <c r="K29" s="15"/>
      <c r="L29" s="15"/>
      <c r="M29" s="15"/>
      <c r="N29" s="15"/>
      <c r="O29" s="15"/>
    </row>
    <row r="30" spans="1:16" x14ac:dyDescent="0.25">
      <c r="A30" s="15"/>
      <c r="B30" s="15"/>
      <c r="C30" s="15"/>
      <c r="D30" s="15"/>
      <c r="E30" s="15"/>
      <c r="F30" s="15"/>
      <c r="G30" s="15"/>
      <c r="H30" s="15"/>
      <c r="I30" s="15"/>
      <c r="J30" s="15"/>
      <c r="K30" s="15"/>
      <c r="L30" s="15"/>
      <c r="M30" s="15"/>
      <c r="N30" s="15"/>
      <c r="O30" s="15"/>
    </row>
    <row r="31" spans="1:16" x14ac:dyDescent="0.25">
      <c r="A31" s="15"/>
      <c r="B31" s="15"/>
      <c r="C31" s="15"/>
      <c r="D31" s="15"/>
      <c r="E31" s="15"/>
      <c r="F31" s="15"/>
      <c r="G31" s="15"/>
      <c r="H31" s="15"/>
      <c r="I31" s="15"/>
      <c r="J31" s="15"/>
      <c r="K31" s="15"/>
      <c r="L31" s="15"/>
      <c r="M31" s="15"/>
      <c r="N31" s="15"/>
      <c r="O31" s="15"/>
    </row>
    <row r="32" spans="1:16" x14ac:dyDescent="0.25">
      <c r="A32" s="15"/>
      <c r="B32" s="15"/>
      <c r="C32" s="15"/>
      <c r="D32" s="15"/>
      <c r="E32" s="15"/>
      <c r="F32" s="15"/>
      <c r="G32" s="15"/>
      <c r="H32" s="15"/>
      <c r="I32" s="15"/>
      <c r="J32" s="15"/>
      <c r="K32" s="15"/>
      <c r="L32" s="15"/>
      <c r="M32" s="15"/>
      <c r="N32" s="15"/>
      <c r="O32" s="15"/>
    </row>
    <row r="33" spans="1:12" ht="15" customHeight="1" x14ac:dyDescent="0.25">
      <c r="A33" s="277"/>
      <c r="B33" s="277"/>
      <c r="C33" s="277"/>
      <c r="D33" s="277"/>
      <c r="E33" s="277"/>
      <c r="F33" s="277"/>
      <c r="G33" s="277"/>
      <c r="H33" s="277"/>
      <c r="I33" s="277"/>
      <c r="J33" s="277"/>
      <c r="K33" s="16"/>
      <c r="L33" s="16"/>
    </row>
    <row r="34" spans="1:12" x14ac:dyDescent="0.25">
      <c r="A34" s="277"/>
      <c r="B34" s="277"/>
      <c r="C34" s="277"/>
      <c r="D34" s="277"/>
      <c r="E34" s="277"/>
      <c r="F34" s="277"/>
      <c r="G34" s="277"/>
      <c r="H34" s="277"/>
      <c r="I34" s="277"/>
      <c r="J34" s="277"/>
      <c r="K34" s="16"/>
      <c r="L34" s="16"/>
    </row>
  </sheetData>
  <mergeCells count="15">
    <mergeCell ref="A12:P13"/>
    <mergeCell ref="A6:P6"/>
    <mergeCell ref="A7:P7"/>
    <mergeCell ref="A8:P8"/>
    <mergeCell ref="A9:P9"/>
    <mergeCell ref="A10:P11"/>
    <mergeCell ref="O14:O15"/>
    <mergeCell ref="P14:P15"/>
    <mergeCell ref="A33:J34"/>
    <mergeCell ref="A14:A15"/>
    <mergeCell ref="B14:E14"/>
    <mergeCell ref="F14:F15"/>
    <mergeCell ref="G14:L14"/>
    <mergeCell ref="M14:M15"/>
    <mergeCell ref="N14:N15"/>
  </mergeCells>
  <printOptions horizontalCentered="1" verticalCentered="1"/>
  <pageMargins left="3.937007874015748E-2" right="3.937007874015748E-2" top="0.35433070866141736" bottom="0.39370078740157483" header="0.31496062992125984" footer="0.23622047244094491"/>
  <pageSetup scale="3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P38"/>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36.8554687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24.85546875" style="10" customWidth="1"/>
    <col min="15" max="15" width="38"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99</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133.5" customHeight="1" thickBot="1" x14ac:dyDescent="0.3">
      <c r="A16" s="121" t="s">
        <v>761</v>
      </c>
      <c r="B16" s="121" t="s">
        <v>762</v>
      </c>
      <c r="C16" s="121" t="s">
        <v>763</v>
      </c>
      <c r="D16" s="20">
        <v>2</v>
      </c>
      <c r="E16" s="122" t="s">
        <v>60</v>
      </c>
      <c r="F16" s="123" t="s">
        <v>764</v>
      </c>
      <c r="G16" s="155">
        <v>0</v>
      </c>
      <c r="H16" s="155">
        <v>0</v>
      </c>
      <c r="I16" s="155">
        <v>0</v>
      </c>
      <c r="J16" s="156">
        <f>+SUM(G16:I16)</f>
        <v>0</v>
      </c>
      <c r="K16" s="13">
        <f>+IFERROR(J16/D16,"-")</f>
        <v>0</v>
      </c>
      <c r="L16" s="13">
        <f>+K16+0%</f>
        <v>0</v>
      </c>
      <c r="M16" s="121" t="s">
        <v>803</v>
      </c>
      <c r="N16" s="131" t="s">
        <v>804</v>
      </c>
      <c r="O16" s="132" t="s">
        <v>805</v>
      </c>
      <c r="P16" s="68"/>
    </row>
    <row r="17" spans="1:16" ht="197.25" customHeight="1" thickBot="1" x14ac:dyDescent="0.3">
      <c r="A17" s="124" t="s">
        <v>765</v>
      </c>
      <c r="B17" s="76" t="s">
        <v>766</v>
      </c>
      <c r="C17" s="76" t="s">
        <v>767</v>
      </c>
      <c r="D17" s="22">
        <v>12</v>
      </c>
      <c r="E17" s="125" t="s">
        <v>37</v>
      </c>
      <c r="F17" s="68" t="s">
        <v>768</v>
      </c>
      <c r="G17" s="155">
        <v>1</v>
      </c>
      <c r="H17" s="155">
        <v>1</v>
      </c>
      <c r="I17" s="155">
        <v>1</v>
      </c>
      <c r="J17" s="156">
        <f t="shared" ref="J17:J26" si="0">+SUM(G17:I17)</f>
        <v>3</v>
      </c>
      <c r="K17" s="13">
        <f t="shared" ref="K17:K26" si="1">+IFERROR(J17/D17,"-")</f>
        <v>0.25</v>
      </c>
      <c r="L17" s="13">
        <f>+K17+75%</f>
        <v>1</v>
      </c>
      <c r="M17" s="76" t="s">
        <v>806</v>
      </c>
      <c r="N17" s="75" t="s">
        <v>905</v>
      </c>
      <c r="O17" s="133" t="s">
        <v>807</v>
      </c>
      <c r="P17" s="76"/>
    </row>
    <row r="18" spans="1:16" ht="180" customHeight="1" thickBot="1" x14ac:dyDescent="0.3">
      <c r="A18" s="126" t="s">
        <v>769</v>
      </c>
      <c r="B18" s="126" t="s">
        <v>770</v>
      </c>
      <c r="C18" s="126" t="s">
        <v>771</v>
      </c>
      <c r="D18" s="24">
        <v>1</v>
      </c>
      <c r="E18" s="122" t="s">
        <v>60</v>
      </c>
      <c r="F18" s="127" t="s">
        <v>772</v>
      </c>
      <c r="G18" s="155">
        <v>0</v>
      </c>
      <c r="H18" s="155">
        <v>0</v>
      </c>
      <c r="I18" s="155">
        <v>0</v>
      </c>
      <c r="J18" s="156">
        <f t="shared" si="0"/>
        <v>0</v>
      </c>
      <c r="K18" s="13">
        <f t="shared" si="1"/>
        <v>0</v>
      </c>
      <c r="L18" s="13">
        <f>+K18+100%</f>
        <v>1</v>
      </c>
      <c r="M18" s="124" t="s">
        <v>808</v>
      </c>
      <c r="N18" s="131" t="s">
        <v>809</v>
      </c>
      <c r="O18" s="134" t="s">
        <v>810</v>
      </c>
      <c r="P18" s="76"/>
    </row>
    <row r="19" spans="1:16" ht="152.25" customHeight="1" thickBot="1" x14ac:dyDescent="0.3">
      <c r="A19" s="128" t="s">
        <v>773</v>
      </c>
      <c r="B19" s="128" t="s">
        <v>774</v>
      </c>
      <c r="C19" s="129" t="s">
        <v>775</v>
      </c>
      <c r="D19" s="25">
        <v>1</v>
      </c>
      <c r="E19" s="125" t="s">
        <v>60</v>
      </c>
      <c r="F19" s="130" t="s">
        <v>776</v>
      </c>
      <c r="G19" s="155">
        <v>0</v>
      </c>
      <c r="H19" s="155">
        <v>0</v>
      </c>
      <c r="I19" s="155">
        <v>0</v>
      </c>
      <c r="J19" s="156">
        <f t="shared" si="0"/>
        <v>0</v>
      </c>
      <c r="K19" s="13">
        <f t="shared" si="1"/>
        <v>0</v>
      </c>
      <c r="L19" s="13">
        <f>+K19+100%</f>
        <v>1</v>
      </c>
      <c r="M19" s="128" t="s">
        <v>811</v>
      </c>
      <c r="N19" s="135" t="s">
        <v>812</v>
      </c>
      <c r="O19" s="136" t="s">
        <v>813</v>
      </c>
      <c r="P19" s="137"/>
    </row>
    <row r="20" spans="1:16" ht="116.25" customHeight="1" thickBot="1" x14ac:dyDescent="0.3">
      <c r="A20" s="128" t="s">
        <v>777</v>
      </c>
      <c r="B20" s="128" t="s">
        <v>778</v>
      </c>
      <c r="C20" s="128" t="s">
        <v>779</v>
      </c>
      <c r="D20" s="24">
        <v>1</v>
      </c>
      <c r="E20" s="125" t="s">
        <v>60</v>
      </c>
      <c r="F20" s="130" t="s">
        <v>780</v>
      </c>
      <c r="G20" s="155">
        <v>0</v>
      </c>
      <c r="H20" s="155">
        <v>0</v>
      </c>
      <c r="I20" s="155">
        <v>0</v>
      </c>
      <c r="J20" s="156">
        <f t="shared" si="0"/>
        <v>0</v>
      </c>
      <c r="K20" s="13">
        <f t="shared" si="1"/>
        <v>0</v>
      </c>
      <c r="L20" s="13">
        <f>+K20+100%</f>
        <v>1</v>
      </c>
      <c r="M20" s="128" t="s">
        <v>808</v>
      </c>
      <c r="N20" s="135" t="s">
        <v>814</v>
      </c>
      <c r="O20" s="136" t="s">
        <v>815</v>
      </c>
      <c r="P20" s="137"/>
    </row>
    <row r="21" spans="1:16" ht="143.25" customHeight="1" thickBot="1" x14ac:dyDescent="0.3">
      <c r="A21" s="128" t="s">
        <v>781</v>
      </c>
      <c r="B21" s="128" t="s">
        <v>782</v>
      </c>
      <c r="C21" s="128" t="s">
        <v>783</v>
      </c>
      <c r="D21" s="20">
        <v>5</v>
      </c>
      <c r="E21" s="125" t="s">
        <v>37</v>
      </c>
      <c r="F21" s="130" t="s">
        <v>784</v>
      </c>
      <c r="G21" s="155">
        <v>1</v>
      </c>
      <c r="H21" s="155">
        <v>1</v>
      </c>
      <c r="I21" s="155">
        <v>1</v>
      </c>
      <c r="J21" s="156">
        <f t="shared" si="0"/>
        <v>3</v>
      </c>
      <c r="K21" s="13">
        <f t="shared" si="1"/>
        <v>0.6</v>
      </c>
      <c r="L21" s="13">
        <f>+K21+40%</f>
        <v>1</v>
      </c>
      <c r="M21" s="128" t="s">
        <v>808</v>
      </c>
      <c r="N21" s="135" t="s">
        <v>816</v>
      </c>
      <c r="O21" s="136" t="s">
        <v>817</v>
      </c>
      <c r="P21" s="137"/>
    </row>
    <row r="22" spans="1:16" ht="118.5" customHeight="1" thickBot="1" x14ac:dyDescent="0.3">
      <c r="A22" s="314" t="s">
        <v>785</v>
      </c>
      <c r="B22" s="128" t="s">
        <v>786</v>
      </c>
      <c r="C22" s="128" t="s">
        <v>787</v>
      </c>
      <c r="D22" s="20">
        <v>12</v>
      </c>
      <c r="E22" s="125" t="s">
        <v>37</v>
      </c>
      <c r="F22" s="130" t="s">
        <v>788</v>
      </c>
      <c r="G22" s="155">
        <v>1</v>
      </c>
      <c r="H22" s="155">
        <v>1</v>
      </c>
      <c r="I22" s="155">
        <v>1</v>
      </c>
      <c r="J22" s="156">
        <f t="shared" si="0"/>
        <v>3</v>
      </c>
      <c r="K22" s="13">
        <f t="shared" si="1"/>
        <v>0.25</v>
      </c>
      <c r="L22" s="13">
        <f>+K22+75%</f>
        <v>1</v>
      </c>
      <c r="M22" s="128" t="s">
        <v>808</v>
      </c>
      <c r="N22" s="135" t="s">
        <v>818</v>
      </c>
      <c r="O22" s="136" t="s">
        <v>819</v>
      </c>
      <c r="P22" s="137"/>
    </row>
    <row r="23" spans="1:16" ht="129.75" customHeight="1" thickBot="1" x14ac:dyDescent="0.3">
      <c r="A23" s="315"/>
      <c r="B23" s="128" t="s">
        <v>789</v>
      </c>
      <c r="C23" s="128" t="s">
        <v>790</v>
      </c>
      <c r="D23" s="20">
        <v>13</v>
      </c>
      <c r="E23" s="125" t="s">
        <v>37</v>
      </c>
      <c r="F23" s="130" t="s">
        <v>791</v>
      </c>
      <c r="G23" s="155">
        <v>1</v>
      </c>
      <c r="H23" s="155">
        <v>1</v>
      </c>
      <c r="I23" s="155">
        <v>2</v>
      </c>
      <c r="J23" s="156">
        <f t="shared" si="0"/>
        <v>4</v>
      </c>
      <c r="K23" s="13">
        <f t="shared" si="1"/>
        <v>0.30769230769230771</v>
      </c>
      <c r="L23" s="13">
        <f>+K23+69.2307692307693%</f>
        <v>1.0000000000000007</v>
      </c>
      <c r="M23" s="128" t="s">
        <v>808</v>
      </c>
      <c r="N23" s="135" t="s">
        <v>820</v>
      </c>
      <c r="O23" s="136" t="s">
        <v>821</v>
      </c>
      <c r="P23" s="137"/>
    </row>
    <row r="24" spans="1:16" ht="99.95" customHeight="1" thickBot="1" x14ac:dyDescent="0.3">
      <c r="A24" s="316"/>
      <c r="B24" s="128" t="s">
        <v>792</v>
      </c>
      <c r="C24" s="128" t="s">
        <v>793</v>
      </c>
      <c r="D24" s="20">
        <v>12</v>
      </c>
      <c r="E24" s="125" t="s">
        <v>37</v>
      </c>
      <c r="F24" s="130" t="s">
        <v>794</v>
      </c>
      <c r="G24" s="155">
        <v>1</v>
      </c>
      <c r="H24" s="155">
        <v>1</v>
      </c>
      <c r="I24" s="155">
        <v>1</v>
      </c>
      <c r="J24" s="156">
        <f t="shared" si="0"/>
        <v>3</v>
      </c>
      <c r="K24" s="13">
        <f t="shared" si="1"/>
        <v>0.25</v>
      </c>
      <c r="L24" s="13">
        <f>+K24+75%</f>
        <v>1</v>
      </c>
      <c r="M24" s="128" t="s">
        <v>808</v>
      </c>
      <c r="N24" s="135" t="s">
        <v>822</v>
      </c>
      <c r="O24" s="136" t="s">
        <v>823</v>
      </c>
      <c r="P24" s="137"/>
    </row>
    <row r="25" spans="1:16" ht="181.5" customHeight="1" thickBot="1" x14ac:dyDescent="0.3">
      <c r="A25" s="128" t="s">
        <v>795</v>
      </c>
      <c r="B25" s="128" t="s">
        <v>796</v>
      </c>
      <c r="C25" s="128" t="s">
        <v>797</v>
      </c>
      <c r="D25" s="20">
        <v>12</v>
      </c>
      <c r="E25" s="125" t="s">
        <v>37</v>
      </c>
      <c r="F25" s="130" t="s">
        <v>798</v>
      </c>
      <c r="G25" s="155">
        <v>1</v>
      </c>
      <c r="H25" s="155">
        <v>1</v>
      </c>
      <c r="I25" s="155">
        <v>1</v>
      </c>
      <c r="J25" s="156">
        <f t="shared" si="0"/>
        <v>3</v>
      </c>
      <c r="K25" s="13">
        <f t="shared" si="1"/>
        <v>0.25</v>
      </c>
      <c r="L25" s="13">
        <f>+K25+75%</f>
        <v>1</v>
      </c>
      <c r="M25" s="128" t="s">
        <v>824</v>
      </c>
      <c r="N25" s="135" t="s">
        <v>825</v>
      </c>
      <c r="O25" s="136" t="s">
        <v>826</v>
      </c>
      <c r="P25" s="138"/>
    </row>
    <row r="26" spans="1:16" ht="225.75" customHeight="1" thickBot="1" x14ac:dyDescent="0.3">
      <c r="A26" s="158" t="s">
        <v>799</v>
      </c>
      <c r="B26" s="26" t="s">
        <v>800</v>
      </c>
      <c r="C26" s="26" t="s">
        <v>801</v>
      </c>
      <c r="D26" s="20">
        <v>12</v>
      </c>
      <c r="E26" s="23" t="s">
        <v>37</v>
      </c>
      <c r="F26" s="60" t="s">
        <v>802</v>
      </c>
      <c r="G26" s="155">
        <v>1</v>
      </c>
      <c r="H26" s="155">
        <v>1</v>
      </c>
      <c r="I26" s="155">
        <v>1</v>
      </c>
      <c r="J26" s="156">
        <f t="shared" si="0"/>
        <v>3</v>
      </c>
      <c r="K26" s="13">
        <f t="shared" si="1"/>
        <v>0.25</v>
      </c>
      <c r="L26" s="13">
        <f>+K26+75%</f>
        <v>1</v>
      </c>
      <c r="M26" s="139" t="s">
        <v>808</v>
      </c>
      <c r="N26" s="140" t="s">
        <v>436</v>
      </c>
      <c r="O26" s="141" t="s">
        <v>827</v>
      </c>
      <c r="P26" s="142"/>
    </row>
    <row r="27" spans="1:16" x14ac:dyDescent="0.25">
      <c r="A27" s="14"/>
      <c r="B27" s="14"/>
      <c r="C27" s="14"/>
      <c r="D27" s="14"/>
      <c r="E27" s="14"/>
      <c r="F27" s="15"/>
      <c r="G27" s="14"/>
      <c r="H27" s="14"/>
      <c r="I27" s="14"/>
      <c r="J27" s="14"/>
      <c r="K27" s="14"/>
      <c r="L27" s="14"/>
      <c r="M27" s="15"/>
      <c r="N27" s="15"/>
      <c r="O27" s="15"/>
    </row>
    <row r="28" spans="1:16" x14ac:dyDescent="0.25">
      <c r="A28" s="14"/>
      <c r="B28" s="14"/>
      <c r="C28" s="14"/>
      <c r="D28" s="14"/>
      <c r="E28" s="14"/>
      <c r="F28" s="15"/>
      <c r="G28" s="14"/>
      <c r="H28" s="14"/>
      <c r="I28" s="14"/>
      <c r="J28" s="14"/>
      <c r="K28" s="14"/>
      <c r="L28" s="14"/>
      <c r="M28" s="15"/>
      <c r="N28" s="15"/>
      <c r="O28" s="15"/>
    </row>
    <row r="29" spans="1:16" x14ac:dyDescent="0.25">
      <c r="A29" s="14"/>
      <c r="B29" s="14"/>
      <c r="C29" s="14"/>
      <c r="D29" s="14"/>
      <c r="E29" s="14"/>
      <c r="F29" s="15"/>
      <c r="G29" s="14"/>
      <c r="H29" s="14"/>
      <c r="I29" s="14"/>
      <c r="J29" s="14"/>
      <c r="K29" s="14"/>
      <c r="L29" s="14"/>
      <c r="M29" s="15"/>
      <c r="N29" s="15"/>
      <c r="O29" s="15"/>
    </row>
    <row r="30" spans="1:16" x14ac:dyDescent="0.25">
      <c r="A30" s="14"/>
      <c r="B30" s="14"/>
      <c r="C30" s="14"/>
      <c r="D30" s="14"/>
      <c r="E30" s="14"/>
      <c r="F30" s="15"/>
      <c r="G30" s="14"/>
      <c r="H30" s="14"/>
      <c r="I30" s="14"/>
      <c r="J30" s="14"/>
      <c r="K30" s="14"/>
      <c r="L30" s="14"/>
      <c r="M30" s="15"/>
      <c r="N30" s="15"/>
      <c r="O30" s="15"/>
    </row>
    <row r="31" spans="1:16" x14ac:dyDescent="0.25">
      <c r="A31" s="15"/>
      <c r="B31" s="15"/>
      <c r="C31" s="15"/>
      <c r="D31" s="15"/>
      <c r="E31" s="15"/>
      <c r="F31" s="15"/>
      <c r="G31" s="15"/>
      <c r="H31" s="15"/>
      <c r="I31" s="15"/>
      <c r="J31" s="15"/>
      <c r="K31" s="15"/>
      <c r="L31" s="15"/>
      <c r="M31" s="15"/>
      <c r="N31" s="15"/>
      <c r="O31" s="15"/>
    </row>
    <row r="32" spans="1:16" x14ac:dyDescent="0.25">
      <c r="A32" s="15"/>
      <c r="B32" s="15"/>
      <c r="C32" s="15"/>
      <c r="D32" s="15"/>
      <c r="E32" s="15"/>
      <c r="F32" s="15"/>
      <c r="G32" s="15"/>
      <c r="H32" s="15"/>
      <c r="I32" s="15"/>
      <c r="J32" s="15"/>
      <c r="K32" s="15"/>
      <c r="L32" s="15"/>
      <c r="M32" s="15"/>
      <c r="N32" s="15"/>
      <c r="O32" s="15"/>
    </row>
    <row r="33" spans="1:15" x14ac:dyDescent="0.25">
      <c r="A33" s="15"/>
      <c r="B33" s="15"/>
      <c r="C33" s="15"/>
      <c r="D33" s="15"/>
      <c r="E33" s="15"/>
      <c r="F33" s="15"/>
      <c r="G33" s="15"/>
      <c r="H33" s="15"/>
      <c r="I33" s="15"/>
      <c r="J33" s="15"/>
      <c r="K33" s="15"/>
      <c r="L33" s="15"/>
      <c r="M33" s="15"/>
      <c r="N33" s="15"/>
      <c r="O33" s="15"/>
    </row>
    <row r="34" spans="1:15" x14ac:dyDescent="0.25">
      <c r="A34" s="15"/>
      <c r="B34" s="15"/>
      <c r="C34" s="15"/>
      <c r="D34" s="15"/>
      <c r="E34" s="15"/>
      <c r="F34" s="15"/>
      <c r="G34" s="15"/>
      <c r="H34" s="15"/>
      <c r="I34" s="15"/>
      <c r="J34" s="15"/>
      <c r="K34" s="15"/>
      <c r="L34" s="15"/>
      <c r="M34" s="15"/>
      <c r="N34" s="15"/>
      <c r="O34" s="15"/>
    </row>
    <row r="35" spans="1:15" x14ac:dyDescent="0.25">
      <c r="A35" s="15"/>
      <c r="B35" s="15"/>
      <c r="C35" s="15"/>
      <c r="D35" s="15"/>
      <c r="E35" s="15"/>
      <c r="F35" s="15"/>
      <c r="G35" s="15"/>
      <c r="H35" s="15"/>
      <c r="I35" s="15"/>
      <c r="J35" s="15"/>
      <c r="K35" s="15"/>
      <c r="L35" s="15"/>
      <c r="M35" s="15"/>
      <c r="N35" s="15"/>
      <c r="O35" s="15"/>
    </row>
    <row r="36" spans="1:15" x14ac:dyDescent="0.25">
      <c r="A36" s="15"/>
      <c r="B36" s="15"/>
      <c r="C36" s="15"/>
      <c r="D36" s="15"/>
      <c r="E36" s="15"/>
      <c r="F36" s="15"/>
      <c r="G36" s="15"/>
      <c r="H36" s="15"/>
      <c r="I36" s="15"/>
      <c r="J36" s="15"/>
      <c r="K36" s="15"/>
      <c r="L36" s="15"/>
      <c r="M36" s="15"/>
      <c r="N36" s="15"/>
      <c r="O36" s="15"/>
    </row>
    <row r="37" spans="1:15" ht="15" customHeight="1" x14ac:dyDescent="0.25">
      <c r="A37" s="277"/>
      <c r="B37" s="277"/>
      <c r="C37" s="277"/>
      <c r="D37" s="277"/>
      <c r="E37" s="277"/>
      <c r="F37" s="277"/>
      <c r="G37" s="277"/>
      <c r="H37" s="277"/>
      <c r="I37" s="277"/>
      <c r="J37" s="277"/>
      <c r="K37" s="16"/>
      <c r="L37" s="16"/>
    </row>
    <row r="38" spans="1:15" x14ac:dyDescent="0.25">
      <c r="A38" s="277"/>
      <c r="B38" s="277"/>
      <c r="C38" s="277"/>
      <c r="D38" s="277"/>
      <c r="E38" s="277"/>
      <c r="F38" s="277"/>
      <c r="G38" s="277"/>
      <c r="H38" s="277"/>
      <c r="I38" s="277"/>
      <c r="J38" s="277"/>
      <c r="K38" s="16"/>
      <c r="L38" s="16"/>
    </row>
  </sheetData>
  <mergeCells count="16">
    <mergeCell ref="A12:P13"/>
    <mergeCell ref="A6:P6"/>
    <mergeCell ref="A7:P7"/>
    <mergeCell ref="A8:P8"/>
    <mergeCell ref="A9:P9"/>
    <mergeCell ref="A10:P11"/>
    <mergeCell ref="O14:O15"/>
    <mergeCell ref="P14:P15"/>
    <mergeCell ref="A37:J38"/>
    <mergeCell ref="A22:A24"/>
    <mergeCell ref="A14:A15"/>
    <mergeCell ref="B14:E14"/>
    <mergeCell ref="F14:F15"/>
    <mergeCell ref="G14:L14"/>
    <mergeCell ref="M14:M15"/>
    <mergeCell ref="N14:N15"/>
  </mergeCells>
  <printOptions horizontalCentered="1" verticalCentered="1"/>
  <pageMargins left="3.937007874015748E-2" right="3.937007874015748E-2" top="0.35433070866141736" bottom="0.39370078740157483" header="0.31496062992125984" footer="0.23622047244094491"/>
  <pageSetup scale="35" fitToHeight="0" orientation="landscape" r:id="rId1"/>
  <rowBreaks count="1" manualBreakCount="1">
    <brk id="20" max="1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P44"/>
  <sheetViews>
    <sheetView showGridLines="0" topLeftCell="A19" zoomScale="60" zoomScaleNormal="60" zoomScaleSheetLayoutView="20" workbookViewId="0">
      <selection activeCell="C24" sqref="C24"/>
    </sheetView>
  </sheetViews>
  <sheetFormatPr baseColWidth="10" defaultColWidth="11.42578125" defaultRowHeight="15" x14ac:dyDescent="0.25"/>
  <cols>
    <col min="1" max="1" width="36.85546875" style="10" customWidth="1"/>
    <col min="2" max="2" width="25.7109375" style="10" customWidth="1"/>
    <col min="3" max="5" width="20.7109375" style="10" customWidth="1"/>
    <col min="6" max="6" width="36"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29.7109375" style="10" customWidth="1"/>
    <col min="15" max="15" width="31.14062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100</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97" t="s">
        <v>34</v>
      </c>
      <c r="B16" s="297" t="s">
        <v>35</v>
      </c>
      <c r="C16" s="19" t="s">
        <v>36</v>
      </c>
      <c r="D16" s="20">
        <v>1</v>
      </c>
      <c r="E16" s="21" t="s">
        <v>37</v>
      </c>
      <c r="F16" s="320" t="s">
        <v>828</v>
      </c>
      <c r="G16" s="155">
        <v>0</v>
      </c>
      <c r="H16" s="156">
        <v>0</v>
      </c>
      <c r="I16" s="156">
        <v>0</v>
      </c>
      <c r="J16" s="156">
        <f>+SUM(G16:I16)</f>
        <v>0</v>
      </c>
      <c r="K16" s="13">
        <f>+IFERROR(J16/D16,"-")</f>
        <v>0</v>
      </c>
      <c r="L16" s="13">
        <f>+K16+100%</f>
        <v>1</v>
      </c>
      <c r="M16" s="297" t="s">
        <v>38</v>
      </c>
      <c r="N16" s="297" t="s">
        <v>39</v>
      </c>
      <c r="O16" s="317" t="s">
        <v>844</v>
      </c>
      <c r="P16" s="319"/>
    </row>
    <row r="17" spans="1:16" ht="99.95" customHeight="1" thickBot="1" x14ac:dyDescent="0.3">
      <c r="A17" s="297"/>
      <c r="B17" s="297"/>
      <c r="C17" s="19" t="s">
        <v>40</v>
      </c>
      <c r="D17" s="22">
        <v>1</v>
      </c>
      <c r="E17" s="21" t="s">
        <v>37</v>
      </c>
      <c r="F17" s="320"/>
      <c r="G17" s="155">
        <v>0</v>
      </c>
      <c r="H17" s="156">
        <v>0</v>
      </c>
      <c r="I17" s="156">
        <v>0</v>
      </c>
      <c r="J17" s="156">
        <f t="shared" ref="J17:J32" si="0">+SUM(G17:I17)</f>
        <v>0</v>
      </c>
      <c r="K17" s="13">
        <f t="shared" ref="K17:K32" si="1">+IFERROR(J17/D17,"-")</f>
        <v>0</v>
      </c>
      <c r="L17" s="13">
        <f>+K17+100%</f>
        <v>1</v>
      </c>
      <c r="M17" s="297"/>
      <c r="N17" s="297"/>
      <c r="O17" s="318"/>
      <c r="P17" s="319"/>
    </row>
    <row r="18" spans="1:16" ht="132" customHeight="1" thickBot="1" x14ac:dyDescent="0.3">
      <c r="A18" s="297"/>
      <c r="B18" s="162" t="s">
        <v>41</v>
      </c>
      <c r="C18" s="19" t="s">
        <v>42</v>
      </c>
      <c r="D18" s="24">
        <v>2</v>
      </c>
      <c r="E18" s="21" t="s">
        <v>37</v>
      </c>
      <c r="F18" s="143" t="s">
        <v>829</v>
      </c>
      <c r="G18" s="155">
        <v>0</v>
      </c>
      <c r="H18" s="156">
        <v>0</v>
      </c>
      <c r="I18" s="156">
        <v>0</v>
      </c>
      <c r="J18" s="156">
        <f t="shared" si="0"/>
        <v>0</v>
      </c>
      <c r="K18" s="13">
        <f t="shared" si="1"/>
        <v>0</v>
      </c>
      <c r="L18" s="13">
        <f>+K18+100%</f>
        <v>1</v>
      </c>
      <c r="M18" s="19" t="s">
        <v>38</v>
      </c>
      <c r="N18" s="19" t="s">
        <v>39</v>
      </c>
      <c r="O18" s="143" t="s">
        <v>845</v>
      </c>
      <c r="P18" s="19"/>
    </row>
    <row r="19" spans="1:16" ht="141.75" customHeight="1" thickBot="1" x14ac:dyDescent="0.3">
      <c r="A19" s="297" t="s">
        <v>43</v>
      </c>
      <c r="B19" s="162" t="s">
        <v>44</v>
      </c>
      <c r="C19" s="19" t="s">
        <v>45</v>
      </c>
      <c r="D19" s="25">
        <v>1</v>
      </c>
      <c r="E19" s="21" t="s">
        <v>37</v>
      </c>
      <c r="F19" s="143" t="s">
        <v>46</v>
      </c>
      <c r="G19" s="155">
        <v>0</v>
      </c>
      <c r="H19" s="156">
        <v>0</v>
      </c>
      <c r="I19" s="156">
        <v>0</v>
      </c>
      <c r="J19" s="156">
        <f t="shared" si="0"/>
        <v>0</v>
      </c>
      <c r="K19" s="13">
        <f t="shared" si="1"/>
        <v>0</v>
      </c>
      <c r="L19" s="13">
        <f>+K19+0%</f>
        <v>0</v>
      </c>
      <c r="M19" s="19" t="s">
        <v>47</v>
      </c>
      <c r="N19" s="84" t="s">
        <v>48</v>
      </c>
      <c r="O19" s="143" t="s">
        <v>846</v>
      </c>
      <c r="P19" s="19"/>
    </row>
    <row r="20" spans="1:16" ht="141" customHeight="1" thickBot="1" x14ac:dyDescent="0.3">
      <c r="A20" s="297"/>
      <c r="B20" s="162" t="s">
        <v>49</v>
      </c>
      <c r="C20" s="19" t="s">
        <v>50</v>
      </c>
      <c r="D20" s="24">
        <v>1</v>
      </c>
      <c r="E20" s="21" t="s">
        <v>37</v>
      </c>
      <c r="F20" s="143" t="s">
        <v>830</v>
      </c>
      <c r="G20" s="155">
        <v>0</v>
      </c>
      <c r="H20" s="156">
        <v>0</v>
      </c>
      <c r="I20" s="156">
        <v>0</v>
      </c>
      <c r="J20" s="156">
        <f t="shared" si="0"/>
        <v>0</v>
      </c>
      <c r="K20" s="13">
        <f t="shared" si="1"/>
        <v>0</v>
      </c>
      <c r="L20" s="13">
        <f>+K20+100%</f>
        <v>1</v>
      </c>
      <c r="M20" s="19" t="s">
        <v>47</v>
      </c>
      <c r="N20" s="19" t="s">
        <v>39</v>
      </c>
      <c r="O20" s="143" t="s">
        <v>847</v>
      </c>
      <c r="P20" s="19"/>
    </row>
    <row r="21" spans="1:16" ht="204.75" customHeight="1" thickBot="1" x14ac:dyDescent="0.3">
      <c r="A21" s="297"/>
      <c r="B21" s="162" t="s">
        <v>51</v>
      </c>
      <c r="C21" s="19" t="s">
        <v>52</v>
      </c>
      <c r="D21" s="20">
        <v>12</v>
      </c>
      <c r="E21" s="21" t="s">
        <v>37</v>
      </c>
      <c r="F21" s="143" t="s">
        <v>831</v>
      </c>
      <c r="G21" s="155">
        <v>1</v>
      </c>
      <c r="H21" s="156">
        <v>1</v>
      </c>
      <c r="I21" s="156">
        <v>1</v>
      </c>
      <c r="J21" s="156">
        <f t="shared" si="0"/>
        <v>3</v>
      </c>
      <c r="K21" s="13">
        <f t="shared" si="1"/>
        <v>0.25</v>
      </c>
      <c r="L21" s="13">
        <f>+K21+75%</f>
        <v>1</v>
      </c>
      <c r="M21" s="19" t="s">
        <v>47</v>
      </c>
      <c r="N21" s="84" t="s">
        <v>53</v>
      </c>
      <c r="O21" s="143" t="s">
        <v>848</v>
      </c>
      <c r="P21" s="19"/>
    </row>
    <row r="22" spans="1:16" ht="99.95" customHeight="1" thickBot="1" x14ac:dyDescent="0.3">
      <c r="A22" s="297"/>
      <c r="B22" s="162" t="s">
        <v>832</v>
      </c>
      <c r="C22" s="19" t="s">
        <v>833</v>
      </c>
      <c r="D22" s="20">
        <v>12</v>
      </c>
      <c r="E22" s="21" t="s">
        <v>37</v>
      </c>
      <c r="F22" s="143" t="s">
        <v>834</v>
      </c>
      <c r="G22" s="155">
        <v>1</v>
      </c>
      <c r="H22" s="156">
        <v>1</v>
      </c>
      <c r="I22" s="156">
        <v>1</v>
      </c>
      <c r="J22" s="156">
        <f t="shared" si="0"/>
        <v>3</v>
      </c>
      <c r="K22" s="13">
        <f t="shared" si="1"/>
        <v>0.25</v>
      </c>
      <c r="L22" s="13">
        <f>+K22+75%</f>
        <v>1</v>
      </c>
      <c r="M22" s="19" t="s">
        <v>47</v>
      </c>
      <c r="N22" s="19" t="s">
        <v>39</v>
      </c>
      <c r="O22" s="143" t="s">
        <v>849</v>
      </c>
      <c r="P22" s="19"/>
    </row>
    <row r="23" spans="1:16" ht="191.25" customHeight="1" thickBot="1" x14ac:dyDescent="0.3">
      <c r="A23" s="297" t="s">
        <v>54</v>
      </c>
      <c r="B23" s="162" t="s">
        <v>55</v>
      </c>
      <c r="C23" s="19" t="s">
        <v>56</v>
      </c>
      <c r="D23" s="20">
        <v>4</v>
      </c>
      <c r="E23" s="21" t="s">
        <v>37</v>
      </c>
      <c r="F23" s="143" t="s">
        <v>835</v>
      </c>
      <c r="G23" s="155">
        <v>0</v>
      </c>
      <c r="H23" s="156">
        <v>0</v>
      </c>
      <c r="I23" s="156">
        <v>0</v>
      </c>
      <c r="J23" s="156">
        <f t="shared" si="0"/>
        <v>0</v>
      </c>
      <c r="K23" s="13">
        <f t="shared" si="1"/>
        <v>0</v>
      </c>
      <c r="L23" s="13">
        <f>+K23+100%</f>
        <v>1</v>
      </c>
      <c r="M23" s="19" t="s">
        <v>57</v>
      </c>
      <c r="N23" s="19" t="s">
        <v>39</v>
      </c>
      <c r="O23" s="143" t="s">
        <v>850</v>
      </c>
      <c r="P23" s="19"/>
    </row>
    <row r="24" spans="1:16" ht="116.25" customHeight="1" thickBot="1" x14ac:dyDescent="0.3">
      <c r="A24" s="297"/>
      <c r="B24" s="162" t="s">
        <v>58</v>
      </c>
      <c r="C24" s="19" t="s">
        <v>59</v>
      </c>
      <c r="D24" s="20">
        <v>1</v>
      </c>
      <c r="E24" s="21" t="s">
        <v>60</v>
      </c>
      <c r="F24" s="143" t="s">
        <v>61</v>
      </c>
      <c r="G24" s="155">
        <v>1</v>
      </c>
      <c r="H24" s="156">
        <v>1</v>
      </c>
      <c r="I24" s="156">
        <v>1</v>
      </c>
      <c r="J24" s="156">
        <f t="shared" si="0"/>
        <v>3</v>
      </c>
      <c r="K24" s="13">
        <f t="shared" si="1"/>
        <v>3</v>
      </c>
      <c r="L24" s="13">
        <f>+K24+600%</f>
        <v>9</v>
      </c>
      <c r="M24" s="19" t="s">
        <v>57</v>
      </c>
      <c r="N24" s="19" t="s">
        <v>39</v>
      </c>
      <c r="O24" s="143" t="s">
        <v>851</v>
      </c>
      <c r="P24" s="19"/>
    </row>
    <row r="25" spans="1:16" ht="135.75" customHeight="1" thickBot="1" x14ac:dyDescent="0.3">
      <c r="A25" s="297" t="s">
        <v>836</v>
      </c>
      <c r="B25" s="162" t="s">
        <v>62</v>
      </c>
      <c r="C25" s="19" t="s">
        <v>63</v>
      </c>
      <c r="D25" s="20">
        <v>1</v>
      </c>
      <c r="E25" s="21" t="s">
        <v>60</v>
      </c>
      <c r="F25" s="80" t="s">
        <v>837</v>
      </c>
      <c r="G25" s="155">
        <v>0</v>
      </c>
      <c r="H25" s="156">
        <v>0</v>
      </c>
      <c r="I25" s="156">
        <v>0</v>
      </c>
      <c r="J25" s="156">
        <f t="shared" si="0"/>
        <v>0</v>
      </c>
      <c r="K25" s="13">
        <f t="shared" si="1"/>
        <v>0</v>
      </c>
      <c r="L25" s="13">
        <f>+K25+0%</f>
        <v>0</v>
      </c>
      <c r="M25" s="19" t="s">
        <v>64</v>
      </c>
      <c r="N25" s="19" t="s">
        <v>39</v>
      </c>
      <c r="O25" s="143" t="s">
        <v>852</v>
      </c>
      <c r="P25" s="19"/>
    </row>
    <row r="26" spans="1:16" ht="99.95" customHeight="1" thickBot="1" x14ac:dyDescent="0.3">
      <c r="A26" s="297"/>
      <c r="B26" s="161" t="s">
        <v>65</v>
      </c>
      <c r="C26" s="19" t="s">
        <v>66</v>
      </c>
      <c r="D26" s="20">
        <v>1</v>
      </c>
      <c r="E26" s="21" t="s">
        <v>37</v>
      </c>
      <c r="F26" s="60" t="s">
        <v>838</v>
      </c>
      <c r="G26" s="155">
        <v>0</v>
      </c>
      <c r="H26" s="156">
        <v>0</v>
      </c>
      <c r="I26" s="156">
        <v>0</v>
      </c>
      <c r="J26" s="156">
        <f t="shared" si="0"/>
        <v>0</v>
      </c>
      <c r="K26" s="13">
        <f t="shared" si="1"/>
        <v>0</v>
      </c>
      <c r="L26" s="13">
        <f>+K26+100%</f>
        <v>1</v>
      </c>
      <c r="M26" s="19" t="s">
        <v>64</v>
      </c>
      <c r="N26" s="19" t="s">
        <v>67</v>
      </c>
      <c r="O26" s="143" t="s">
        <v>853</v>
      </c>
      <c r="P26" s="19"/>
    </row>
    <row r="27" spans="1:16" ht="141" customHeight="1" thickBot="1" x14ac:dyDescent="0.3">
      <c r="A27" s="297"/>
      <c r="B27" s="162" t="s">
        <v>68</v>
      </c>
      <c r="C27" s="19" t="s">
        <v>69</v>
      </c>
      <c r="D27" s="20">
        <v>1</v>
      </c>
      <c r="E27" s="21" t="s">
        <v>37</v>
      </c>
      <c r="F27" s="60" t="s">
        <v>70</v>
      </c>
      <c r="G27" s="155">
        <v>0</v>
      </c>
      <c r="H27" s="156">
        <v>0</v>
      </c>
      <c r="I27" s="156">
        <v>1</v>
      </c>
      <c r="J27" s="156">
        <f t="shared" si="0"/>
        <v>1</v>
      </c>
      <c r="K27" s="13">
        <f t="shared" si="1"/>
        <v>1</v>
      </c>
      <c r="L27" s="13">
        <f>+K27+0%</f>
        <v>1</v>
      </c>
      <c r="M27" s="19" t="s">
        <v>64</v>
      </c>
      <c r="N27" s="84" t="s">
        <v>71</v>
      </c>
      <c r="O27" s="143" t="s">
        <v>854</v>
      </c>
      <c r="P27" s="19"/>
    </row>
    <row r="28" spans="1:16" ht="142.5" customHeight="1" thickBot="1" x14ac:dyDescent="0.3">
      <c r="A28" s="297" t="s">
        <v>839</v>
      </c>
      <c r="B28" s="162" t="s">
        <v>840</v>
      </c>
      <c r="C28" s="19" t="s">
        <v>72</v>
      </c>
      <c r="D28" s="20">
        <v>1</v>
      </c>
      <c r="E28" s="21" t="s">
        <v>37</v>
      </c>
      <c r="F28" s="80" t="s">
        <v>73</v>
      </c>
      <c r="G28" s="155">
        <v>0</v>
      </c>
      <c r="H28" s="156">
        <v>0</v>
      </c>
      <c r="I28" s="156">
        <v>0</v>
      </c>
      <c r="J28" s="156">
        <f t="shared" si="0"/>
        <v>0</v>
      </c>
      <c r="K28" s="13">
        <f t="shared" si="1"/>
        <v>0</v>
      </c>
      <c r="L28" s="13">
        <f>+K28+0%</f>
        <v>0</v>
      </c>
      <c r="M28" s="19" t="s">
        <v>74</v>
      </c>
      <c r="N28" s="19" t="s">
        <v>39</v>
      </c>
      <c r="O28" s="143" t="s">
        <v>855</v>
      </c>
      <c r="P28" s="19"/>
    </row>
    <row r="29" spans="1:16" ht="144.75" customHeight="1" thickBot="1" x14ac:dyDescent="0.3">
      <c r="A29" s="297"/>
      <c r="B29" s="162" t="s">
        <v>841</v>
      </c>
      <c r="C29" s="19" t="s">
        <v>72</v>
      </c>
      <c r="D29" s="20">
        <v>1</v>
      </c>
      <c r="E29" s="21" t="s">
        <v>37</v>
      </c>
      <c r="F29" s="80" t="s">
        <v>75</v>
      </c>
      <c r="G29" s="155">
        <v>0</v>
      </c>
      <c r="H29" s="156">
        <v>0</v>
      </c>
      <c r="I29" s="156">
        <v>0</v>
      </c>
      <c r="J29" s="156">
        <f t="shared" si="0"/>
        <v>0</v>
      </c>
      <c r="K29" s="13">
        <f t="shared" si="1"/>
        <v>0</v>
      </c>
      <c r="L29" s="13">
        <f>+K29+100%</f>
        <v>1</v>
      </c>
      <c r="M29" s="19" t="s">
        <v>74</v>
      </c>
      <c r="N29" s="19" t="s">
        <v>39</v>
      </c>
      <c r="O29" s="143" t="s">
        <v>856</v>
      </c>
      <c r="P29" s="19"/>
    </row>
    <row r="30" spans="1:16" ht="189.75" customHeight="1" thickBot="1" x14ac:dyDescent="0.3">
      <c r="A30" s="297"/>
      <c r="B30" s="162" t="s">
        <v>76</v>
      </c>
      <c r="C30" s="19" t="s">
        <v>77</v>
      </c>
      <c r="D30" s="20">
        <v>1</v>
      </c>
      <c r="E30" s="21" t="s">
        <v>37</v>
      </c>
      <c r="F30" s="80" t="s">
        <v>842</v>
      </c>
      <c r="G30" s="155">
        <v>0</v>
      </c>
      <c r="H30" s="156">
        <v>0</v>
      </c>
      <c r="I30" s="156">
        <v>1</v>
      </c>
      <c r="J30" s="156">
        <f t="shared" si="0"/>
        <v>1</v>
      </c>
      <c r="K30" s="13">
        <f t="shared" si="1"/>
        <v>1</v>
      </c>
      <c r="L30" s="13">
        <f>+K30+0%</f>
        <v>1</v>
      </c>
      <c r="M30" s="19" t="s">
        <v>74</v>
      </c>
      <c r="N30" s="19" t="s">
        <v>39</v>
      </c>
      <c r="O30" s="143" t="s">
        <v>857</v>
      </c>
      <c r="P30" s="19"/>
    </row>
    <row r="31" spans="1:16" ht="117" customHeight="1" thickBot="1" x14ac:dyDescent="0.3">
      <c r="A31" s="297"/>
      <c r="B31" s="162" t="s">
        <v>78</v>
      </c>
      <c r="C31" s="19" t="s">
        <v>79</v>
      </c>
      <c r="D31" s="20">
        <v>1</v>
      </c>
      <c r="E31" s="21" t="s">
        <v>60</v>
      </c>
      <c r="F31" s="80" t="s">
        <v>80</v>
      </c>
      <c r="G31" s="155">
        <v>0</v>
      </c>
      <c r="H31" s="156">
        <v>0</v>
      </c>
      <c r="I31" s="156">
        <v>0</v>
      </c>
      <c r="J31" s="156">
        <f t="shared" si="0"/>
        <v>0</v>
      </c>
      <c r="K31" s="13">
        <f t="shared" si="1"/>
        <v>0</v>
      </c>
      <c r="L31" s="13">
        <f>+K31+100%</f>
        <v>1</v>
      </c>
      <c r="M31" s="19" t="s">
        <v>74</v>
      </c>
      <c r="N31" s="19" t="s">
        <v>81</v>
      </c>
      <c r="O31" s="143" t="s">
        <v>858</v>
      </c>
      <c r="P31" s="19"/>
    </row>
    <row r="32" spans="1:16" ht="160.5" customHeight="1" thickBot="1" x14ac:dyDescent="0.3">
      <c r="A32" s="297"/>
      <c r="B32" s="162" t="s">
        <v>82</v>
      </c>
      <c r="C32" s="19" t="s">
        <v>83</v>
      </c>
      <c r="D32" s="20">
        <v>12</v>
      </c>
      <c r="E32" s="21" t="s">
        <v>37</v>
      </c>
      <c r="F32" s="80" t="s">
        <v>843</v>
      </c>
      <c r="G32" s="155">
        <v>1</v>
      </c>
      <c r="H32" s="156">
        <v>1</v>
      </c>
      <c r="I32" s="156">
        <v>1</v>
      </c>
      <c r="J32" s="156">
        <f t="shared" si="0"/>
        <v>3</v>
      </c>
      <c r="K32" s="13">
        <f t="shared" si="1"/>
        <v>0.25</v>
      </c>
      <c r="L32" s="13">
        <f>+K32+75%</f>
        <v>1</v>
      </c>
      <c r="M32" s="19" t="s">
        <v>74</v>
      </c>
      <c r="N32" s="19" t="s">
        <v>84</v>
      </c>
      <c r="O32" s="143" t="s">
        <v>859</v>
      </c>
      <c r="P32" s="19"/>
    </row>
    <row r="33" spans="1:15" x14ac:dyDescent="0.25">
      <c r="A33" s="14"/>
      <c r="B33" s="14"/>
      <c r="C33" s="14"/>
      <c r="D33" s="14"/>
      <c r="E33" s="14"/>
      <c r="F33" s="15"/>
      <c r="G33" s="14"/>
      <c r="H33" s="14"/>
      <c r="I33" s="14"/>
      <c r="J33" s="14"/>
      <c r="K33" s="14"/>
      <c r="L33" s="14"/>
      <c r="M33" s="15"/>
      <c r="N33" s="15"/>
      <c r="O33" s="15"/>
    </row>
    <row r="34" spans="1:15" x14ac:dyDescent="0.25">
      <c r="A34" s="14"/>
      <c r="B34" s="14"/>
      <c r="C34" s="14"/>
      <c r="D34" s="14"/>
      <c r="E34" s="14"/>
      <c r="F34" s="15"/>
      <c r="G34" s="14"/>
      <c r="H34" s="14"/>
      <c r="I34" s="14"/>
      <c r="J34" s="14"/>
      <c r="K34" s="14"/>
      <c r="L34" s="14"/>
      <c r="M34" s="15"/>
      <c r="N34" s="15"/>
      <c r="O34" s="15"/>
    </row>
    <row r="35" spans="1:15" x14ac:dyDescent="0.25">
      <c r="A35" s="14"/>
      <c r="B35" s="14"/>
      <c r="C35" s="14"/>
      <c r="D35" s="14"/>
      <c r="E35" s="14"/>
      <c r="F35" s="15"/>
      <c r="G35" s="14"/>
      <c r="H35" s="14"/>
      <c r="I35" s="14"/>
      <c r="J35" s="14"/>
      <c r="K35" s="14"/>
      <c r="L35" s="14"/>
      <c r="M35" s="15"/>
      <c r="N35" s="15"/>
      <c r="O35" s="15"/>
    </row>
    <row r="36" spans="1:15" x14ac:dyDescent="0.25">
      <c r="A36" s="14"/>
      <c r="B36" s="14"/>
      <c r="C36" s="14"/>
      <c r="D36" s="14"/>
      <c r="E36" s="14"/>
      <c r="F36" s="15"/>
      <c r="G36" s="14"/>
      <c r="H36" s="14"/>
      <c r="I36" s="14"/>
      <c r="J36" s="14"/>
      <c r="K36" s="14"/>
      <c r="L36" s="14"/>
      <c r="M36" s="15"/>
      <c r="N36" s="15"/>
      <c r="O36" s="15"/>
    </row>
    <row r="37" spans="1:15" x14ac:dyDescent="0.25">
      <c r="A37" s="15"/>
      <c r="B37" s="15"/>
      <c r="C37" s="15"/>
      <c r="D37" s="15"/>
      <c r="E37" s="15"/>
      <c r="F37" s="15"/>
      <c r="G37" s="15"/>
      <c r="H37" s="15"/>
      <c r="I37" s="15"/>
      <c r="J37" s="15"/>
      <c r="K37" s="15"/>
      <c r="L37" s="15"/>
      <c r="M37" s="15"/>
      <c r="N37" s="15"/>
      <c r="O37" s="15"/>
    </row>
    <row r="38" spans="1:15" x14ac:dyDescent="0.25">
      <c r="A38" s="15"/>
      <c r="B38" s="15"/>
      <c r="C38" s="15"/>
      <c r="D38" s="15"/>
      <c r="E38" s="15"/>
      <c r="F38" s="15"/>
      <c r="G38" s="15"/>
      <c r="H38" s="15"/>
      <c r="I38" s="15"/>
      <c r="J38" s="15"/>
      <c r="K38" s="15"/>
      <c r="L38" s="15"/>
      <c r="M38" s="15"/>
      <c r="N38" s="15"/>
      <c r="O38" s="15"/>
    </row>
    <row r="39" spans="1:15" x14ac:dyDescent="0.25">
      <c r="A39" s="15"/>
      <c r="B39" s="15"/>
      <c r="C39" s="15"/>
      <c r="D39" s="15"/>
      <c r="E39" s="15"/>
      <c r="F39" s="15"/>
      <c r="G39" s="15"/>
      <c r="H39" s="15"/>
      <c r="I39" s="15"/>
      <c r="J39" s="15"/>
      <c r="K39" s="15"/>
      <c r="L39" s="15"/>
      <c r="M39" s="15"/>
      <c r="N39" s="15"/>
      <c r="O39" s="15"/>
    </row>
    <row r="40" spans="1:15" x14ac:dyDescent="0.25">
      <c r="A40" s="15"/>
      <c r="B40" s="15"/>
      <c r="C40" s="15"/>
      <c r="D40" s="15"/>
      <c r="E40" s="15"/>
      <c r="F40" s="15"/>
      <c r="G40" s="15"/>
      <c r="H40" s="15"/>
      <c r="I40" s="15"/>
      <c r="J40" s="15"/>
      <c r="K40" s="15"/>
      <c r="L40" s="15"/>
      <c r="M40" s="15"/>
      <c r="N40" s="15"/>
      <c r="O40" s="15"/>
    </row>
    <row r="41" spans="1:15" x14ac:dyDescent="0.25">
      <c r="A41" s="15"/>
      <c r="B41" s="15"/>
      <c r="C41" s="15"/>
      <c r="D41" s="15"/>
      <c r="E41" s="15"/>
      <c r="F41" s="15"/>
      <c r="G41" s="15"/>
      <c r="H41" s="15"/>
      <c r="I41" s="15"/>
      <c r="J41" s="15"/>
      <c r="K41" s="15"/>
      <c r="L41" s="15"/>
      <c r="M41" s="15"/>
      <c r="N41" s="15"/>
      <c r="O41" s="15"/>
    </row>
    <row r="42" spans="1:15" x14ac:dyDescent="0.25">
      <c r="A42" s="15"/>
      <c r="B42" s="15"/>
      <c r="C42" s="15"/>
      <c r="D42" s="15"/>
      <c r="E42" s="15"/>
      <c r="F42" s="15"/>
      <c r="G42" s="15"/>
      <c r="H42" s="15"/>
      <c r="I42" s="15"/>
      <c r="J42" s="15"/>
      <c r="K42" s="15"/>
      <c r="L42" s="15"/>
      <c r="M42" s="15"/>
      <c r="N42" s="15"/>
      <c r="O42" s="15"/>
    </row>
    <row r="43" spans="1:15" ht="15" customHeight="1" x14ac:dyDescent="0.25">
      <c r="A43" s="277"/>
      <c r="B43" s="277"/>
      <c r="C43" s="277"/>
      <c r="D43" s="277"/>
      <c r="E43" s="277"/>
      <c r="F43" s="277"/>
      <c r="G43" s="277"/>
      <c r="H43" s="277"/>
      <c r="I43" s="277"/>
      <c r="J43" s="277"/>
      <c r="K43" s="16"/>
      <c r="L43" s="16"/>
    </row>
    <row r="44" spans="1:15" x14ac:dyDescent="0.25">
      <c r="A44" s="277"/>
      <c r="B44" s="277"/>
      <c r="C44" s="277"/>
      <c r="D44" s="277"/>
      <c r="E44" s="277"/>
      <c r="F44" s="277"/>
      <c r="G44" s="277"/>
      <c r="H44" s="277"/>
      <c r="I44" s="277"/>
      <c r="J44" s="277"/>
      <c r="K44" s="16"/>
      <c r="L44" s="16"/>
    </row>
  </sheetData>
  <mergeCells count="26">
    <mergeCell ref="A12:P13"/>
    <mergeCell ref="A6:P6"/>
    <mergeCell ref="A7:P7"/>
    <mergeCell ref="A8:P8"/>
    <mergeCell ref="A9:P9"/>
    <mergeCell ref="A10:P11"/>
    <mergeCell ref="A14:A15"/>
    <mergeCell ref="B14:E14"/>
    <mergeCell ref="F14:F15"/>
    <mergeCell ref="G14:L14"/>
    <mergeCell ref="M14:M15"/>
    <mergeCell ref="A43:J44"/>
    <mergeCell ref="A16:A18"/>
    <mergeCell ref="B16:B17"/>
    <mergeCell ref="F16:F17"/>
    <mergeCell ref="A19:A22"/>
    <mergeCell ref="A23:A24"/>
    <mergeCell ref="A25:A27"/>
    <mergeCell ref="A28:A32"/>
    <mergeCell ref="M16:M17"/>
    <mergeCell ref="N16:N17"/>
    <mergeCell ref="O16:O17"/>
    <mergeCell ref="P16:P17"/>
    <mergeCell ref="O14:O15"/>
    <mergeCell ref="P14:P15"/>
    <mergeCell ref="N14:N15"/>
  </mergeCells>
  <dataValidations count="1">
    <dataValidation type="list" allowBlank="1" showInputMessage="1" showErrorMessage="1" sqref="E16:E26">
      <formula1>"A,B,C"</formula1>
    </dataValidation>
  </dataValidations>
  <printOptions horizontalCentered="1" verticalCentered="1"/>
  <pageMargins left="3.937007874015748E-2" right="3.937007874015748E-2" top="0.35433070866141736" bottom="0.39370078740157483" header="0.31496062992125984" footer="0.23622047244094491"/>
  <pageSetup scale="35" fitToHeight="0" orientation="landscape" r:id="rId1"/>
  <rowBreaks count="2" manualBreakCount="2">
    <brk id="22" max="15" man="1"/>
    <brk id="27" max="15" man="1"/>
  </rowBreaks>
  <ignoredErrors>
    <ignoredError sqref="L2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P44"/>
  <sheetViews>
    <sheetView showGridLines="0" zoomScale="60" zoomScaleNormal="60" zoomScaleSheetLayoutView="20" workbookViewId="0"/>
  </sheetViews>
  <sheetFormatPr baseColWidth="10" defaultColWidth="11.42578125" defaultRowHeight="15" x14ac:dyDescent="0.25"/>
  <cols>
    <col min="1" max="1" width="40.42578125" style="10" customWidth="1"/>
    <col min="2" max="2" width="25.7109375" style="10" customWidth="1"/>
    <col min="3" max="3" width="23.140625" style="10" customWidth="1"/>
    <col min="4" max="5" width="20.7109375" style="10" customWidth="1"/>
    <col min="6" max="6" width="42.425781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19.85546875" style="10" customWidth="1"/>
    <col min="15" max="15" width="35.4257812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101</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96" t="s">
        <v>860</v>
      </c>
      <c r="B16" s="76" t="s">
        <v>861</v>
      </c>
      <c r="C16" s="66" t="s">
        <v>862</v>
      </c>
      <c r="D16" s="20">
        <v>12</v>
      </c>
      <c r="E16" s="125" t="s">
        <v>37</v>
      </c>
      <c r="F16" s="68" t="s">
        <v>863</v>
      </c>
      <c r="G16" s="155">
        <v>1</v>
      </c>
      <c r="H16" s="155">
        <v>1</v>
      </c>
      <c r="I16" s="155">
        <v>1</v>
      </c>
      <c r="J16" s="156">
        <f>+SUM(G16:I16)</f>
        <v>3</v>
      </c>
      <c r="K16" s="13">
        <f>+IFERROR(J16/D16,"-")</f>
        <v>0.25</v>
      </c>
      <c r="L16" s="13">
        <f>+K16+75%</f>
        <v>1</v>
      </c>
      <c r="M16" s="66" t="s">
        <v>879</v>
      </c>
      <c r="N16" s="66" t="s">
        <v>880</v>
      </c>
      <c r="O16" s="147" t="s">
        <v>881</v>
      </c>
      <c r="P16" s="76"/>
    </row>
    <row r="17" spans="1:16" ht="99.95" customHeight="1" thickBot="1" x14ac:dyDescent="0.3">
      <c r="A17" s="296"/>
      <c r="B17" s="76" t="s">
        <v>864</v>
      </c>
      <c r="C17" s="66" t="s">
        <v>865</v>
      </c>
      <c r="D17" s="22">
        <v>12</v>
      </c>
      <c r="E17" s="125" t="s">
        <v>37</v>
      </c>
      <c r="F17" s="68" t="s">
        <v>866</v>
      </c>
      <c r="G17" s="155">
        <v>1</v>
      </c>
      <c r="H17" s="155">
        <v>1</v>
      </c>
      <c r="I17" s="155">
        <v>1</v>
      </c>
      <c r="J17" s="156">
        <f t="shared" ref="J17:J20" si="0">+SUM(G17:I17)</f>
        <v>3</v>
      </c>
      <c r="K17" s="13">
        <f t="shared" ref="K17:K20" si="1">+IFERROR(J17/D17,"-")</f>
        <v>0.25</v>
      </c>
      <c r="L17" s="13">
        <f>+K17+75%</f>
        <v>1</v>
      </c>
      <c r="M17" s="66" t="s">
        <v>879</v>
      </c>
      <c r="N17" s="66" t="s">
        <v>754</v>
      </c>
      <c r="O17" s="147" t="s">
        <v>882</v>
      </c>
      <c r="P17" s="76"/>
    </row>
    <row r="18" spans="1:16" ht="132" customHeight="1" thickBot="1" x14ac:dyDescent="0.3">
      <c r="A18" s="66" t="s">
        <v>867</v>
      </c>
      <c r="B18" s="76" t="s">
        <v>868</v>
      </c>
      <c r="C18" s="144" t="s">
        <v>869</v>
      </c>
      <c r="D18" s="24">
        <v>4</v>
      </c>
      <c r="E18" s="125" t="s">
        <v>37</v>
      </c>
      <c r="F18" s="68" t="s">
        <v>870</v>
      </c>
      <c r="G18" s="155">
        <v>0</v>
      </c>
      <c r="H18" s="155">
        <v>0</v>
      </c>
      <c r="I18" s="155">
        <v>0</v>
      </c>
      <c r="J18" s="156">
        <f t="shared" si="0"/>
        <v>0</v>
      </c>
      <c r="K18" s="13">
        <f t="shared" si="1"/>
        <v>0</v>
      </c>
      <c r="L18" s="13">
        <f>+K18+100%</f>
        <v>1</v>
      </c>
      <c r="M18" s="66" t="s">
        <v>879</v>
      </c>
      <c r="N18" s="66" t="s">
        <v>880</v>
      </c>
      <c r="O18" s="148" t="s">
        <v>883</v>
      </c>
      <c r="P18" s="76"/>
    </row>
    <row r="19" spans="1:16" ht="123.75" customHeight="1" thickBot="1" x14ac:dyDescent="0.3">
      <c r="A19" s="144" t="s">
        <v>871</v>
      </c>
      <c r="B19" s="76" t="s">
        <v>872</v>
      </c>
      <c r="C19" s="66" t="s">
        <v>873</v>
      </c>
      <c r="D19" s="25">
        <v>12</v>
      </c>
      <c r="E19" s="125" t="s">
        <v>37</v>
      </c>
      <c r="F19" s="68" t="s">
        <v>874</v>
      </c>
      <c r="G19" s="155">
        <v>1</v>
      </c>
      <c r="H19" s="155">
        <v>1</v>
      </c>
      <c r="I19" s="155">
        <v>1</v>
      </c>
      <c r="J19" s="156">
        <f t="shared" si="0"/>
        <v>3</v>
      </c>
      <c r="K19" s="13">
        <f t="shared" si="1"/>
        <v>0.25</v>
      </c>
      <c r="L19" s="13">
        <f>+K19+75%</f>
        <v>1</v>
      </c>
      <c r="M19" s="66" t="s">
        <v>879</v>
      </c>
      <c r="N19" s="66" t="s">
        <v>880</v>
      </c>
      <c r="O19" s="148" t="s">
        <v>884</v>
      </c>
      <c r="P19" s="76"/>
    </row>
    <row r="20" spans="1:16" ht="118.5" customHeight="1" thickBot="1" x14ac:dyDescent="0.3">
      <c r="A20" s="144" t="s">
        <v>875</v>
      </c>
      <c r="B20" s="145" t="s">
        <v>876</v>
      </c>
      <c r="C20" s="144" t="s">
        <v>877</v>
      </c>
      <c r="D20" s="24">
        <v>4</v>
      </c>
      <c r="E20" s="125" t="s">
        <v>37</v>
      </c>
      <c r="F20" s="146" t="s">
        <v>878</v>
      </c>
      <c r="G20" s="155">
        <v>0</v>
      </c>
      <c r="H20" s="155">
        <v>0</v>
      </c>
      <c r="I20" s="155">
        <v>0</v>
      </c>
      <c r="J20" s="156">
        <f t="shared" si="0"/>
        <v>0</v>
      </c>
      <c r="K20" s="13">
        <f t="shared" si="1"/>
        <v>0</v>
      </c>
      <c r="L20" s="13">
        <f>+K20+100%</f>
        <v>1</v>
      </c>
      <c r="M20" s="66" t="s">
        <v>879</v>
      </c>
      <c r="N20" s="66" t="s">
        <v>885</v>
      </c>
      <c r="O20" s="149" t="s">
        <v>886</v>
      </c>
      <c r="P20" s="150" t="s">
        <v>887</v>
      </c>
    </row>
    <row r="21" spans="1:16" x14ac:dyDescent="0.25">
      <c r="A21" s="14"/>
      <c r="B21" s="14"/>
      <c r="C21" s="14"/>
      <c r="D21" s="14"/>
      <c r="E21" s="14"/>
      <c r="F21" s="15"/>
      <c r="G21" s="14"/>
      <c r="H21" s="14"/>
      <c r="I21" s="14"/>
      <c r="J21" s="14"/>
      <c r="K21" s="14"/>
      <c r="L21" s="14"/>
      <c r="M21" s="15"/>
      <c r="N21" s="15"/>
      <c r="O21" s="15"/>
    </row>
    <row r="22" spans="1:16" x14ac:dyDescent="0.25">
      <c r="A22" s="14"/>
      <c r="B22" s="14"/>
      <c r="C22" s="166"/>
      <c r="D22" s="166"/>
      <c r="E22" s="166"/>
      <c r="F22" s="166"/>
      <c r="G22" s="166"/>
      <c r="H22" s="166"/>
      <c r="I22" s="166"/>
      <c r="J22" s="166"/>
      <c r="K22" s="166"/>
      <c r="L22" s="166"/>
      <c r="M22" s="166"/>
      <c r="N22" s="166"/>
      <c r="O22" s="15"/>
    </row>
    <row r="23" spans="1:16" x14ac:dyDescent="0.25">
      <c r="A23" s="14"/>
      <c r="B23" s="14"/>
      <c r="C23" s="166"/>
      <c r="D23" s="166"/>
      <c r="E23" s="166"/>
      <c r="F23" s="166"/>
      <c r="G23" s="166"/>
      <c r="H23" s="166"/>
      <c r="I23" s="166"/>
      <c r="J23" s="166"/>
      <c r="K23" s="166"/>
      <c r="L23" s="166"/>
      <c r="M23" s="166"/>
      <c r="N23" s="166"/>
      <c r="O23" s="15"/>
    </row>
    <row r="24" spans="1:16" x14ac:dyDescent="0.25">
      <c r="A24" s="14"/>
      <c r="B24" s="14"/>
      <c r="C24" s="166"/>
      <c r="D24" s="166"/>
      <c r="E24" s="166"/>
      <c r="F24" s="166"/>
      <c r="G24" s="166"/>
      <c r="H24" s="166"/>
      <c r="I24" s="166"/>
      <c r="J24" s="166"/>
      <c r="K24" s="166"/>
      <c r="L24" s="166"/>
      <c r="M24" s="166"/>
      <c r="N24" s="166"/>
      <c r="O24" s="15"/>
    </row>
    <row r="25" spans="1:16" x14ac:dyDescent="0.25">
      <c r="A25" s="15"/>
      <c r="B25" s="15"/>
      <c r="C25" s="166"/>
      <c r="D25" s="166"/>
      <c r="E25" s="166"/>
      <c r="F25" s="166"/>
      <c r="G25" s="166"/>
      <c r="H25" s="166"/>
      <c r="I25" s="166"/>
      <c r="J25" s="166"/>
      <c r="K25" s="166"/>
      <c r="L25" s="166"/>
      <c r="M25" s="166"/>
      <c r="N25" s="166"/>
      <c r="O25" s="15"/>
    </row>
    <row r="26" spans="1:16" x14ac:dyDescent="0.25">
      <c r="A26" s="15"/>
      <c r="B26" s="15"/>
      <c r="C26" s="166"/>
      <c r="D26" s="166"/>
      <c r="E26" s="166"/>
      <c r="F26" s="166"/>
      <c r="G26" s="166"/>
      <c r="H26" s="166"/>
      <c r="I26" s="166"/>
      <c r="J26" s="166"/>
      <c r="K26" s="166"/>
      <c r="L26" s="166"/>
      <c r="M26" s="166"/>
      <c r="N26" s="166"/>
      <c r="O26" s="15"/>
    </row>
    <row r="27" spans="1:16" x14ac:dyDescent="0.25">
      <c r="A27" s="15"/>
      <c r="B27" s="15"/>
      <c r="C27" s="166"/>
      <c r="D27" s="166"/>
      <c r="E27" s="166"/>
      <c r="F27" s="166"/>
      <c r="G27" s="166"/>
      <c r="H27" s="166"/>
      <c r="I27" s="166"/>
      <c r="J27" s="166"/>
      <c r="K27" s="166"/>
      <c r="L27" s="166"/>
      <c r="M27" s="166"/>
      <c r="N27" s="166"/>
      <c r="O27" s="15"/>
    </row>
    <row r="28" spans="1:16" x14ac:dyDescent="0.25">
      <c r="A28" s="15"/>
      <c r="B28" s="15"/>
      <c r="C28" s="166"/>
      <c r="D28" s="166"/>
      <c r="E28" s="166"/>
      <c r="F28" s="166"/>
      <c r="G28" s="166"/>
      <c r="H28" s="166"/>
      <c r="I28" s="166"/>
      <c r="J28" s="166"/>
      <c r="K28" s="166"/>
      <c r="L28" s="166"/>
      <c r="M28" s="166"/>
      <c r="N28" s="166"/>
      <c r="O28" s="15"/>
    </row>
    <row r="29" spans="1:16" x14ac:dyDescent="0.25">
      <c r="A29" s="15"/>
      <c r="B29" s="15"/>
      <c r="C29" s="166"/>
      <c r="D29" s="166"/>
      <c r="E29" s="166"/>
      <c r="F29" s="166"/>
      <c r="G29" s="166"/>
      <c r="H29" s="166"/>
      <c r="I29" s="166"/>
      <c r="J29" s="166"/>
      <c r="K29" s="166"/>
      <c r="L29" s="166"/>
      <c r="M29" s="166"/>
      <c r="N29" s="166"/>
      <c r="O29" s="15"/>
    </row>
    <row r="30" spans="1:16" x14ac:dyDescent="0.25">
      <c r="A30" s="15"/>
      <c r="B30" s="15"/>
      <c r="C30" s="166"/>
      <c r="D30" s="166"/>
      <c r="E30" s="166"/>
      <c r="F30" s="166"/>
      <c r="G30" s="166"/>
      <c r="H30" s="166"/>
      <c r="I30" s="166"/>
      <c r="J30" s="166"/>
      <c r="K30" s="166"/>
      <c r="L30" s="166"/>
      <c r="M30" s="166"/>
      <c r="N30" s="166"/>
      <c r="O30" s="15"/>
    </row>
    <row r="31" spans="1:16" ht="15" customHeight="1" x14ac:dyDescent="0.25">
      <c r="A31" s="165"/>
      <c r="B31" s="165"/>
      <c r="C31" s="166"/>
      <c r="D31" s="166"/>
      <c r="E31" s="166"/>
      <c r="F31" s="166"/>
      <c r="G31" s="166"/>
      <c r="H31" s="166"/>
      <c r="I31" s="166"/>
      <c r="J31" s="166"/>
      <c r="K31" s="166"/>
      <c r="L31" s="166"/>
      <c r="M31" s="166"/>
      <c r="N31" s="166"/>
    </row>
    <row r="32" spans="1:16" x14ac:dyDescent="0.25">
      <c r="A32" s="165"/>
      <c r="B32" s="165"/>
      <c r="C32" s="166"/>
      <c r="D32" s="166"/>
      <c r="E32" s="166"/>
      <c r="F32" s="166"/>
      <c r="G32" s="166"/>
      <c r="H32" s="166"/>
      <c r="I32" s="166"/>
      <c r="J32" s="166"/>
      <c r="K32" s="166"/>
      <c r="L32" s="166"/>
      <c r="M32" s="166"/>
      <c r="N32" s="166"/>
    </row>
    <row r="33" spans="3:14" x14ac:dyDescent="0.25">
      <c r="C33" s="166"/>
      <c r="D33" s="166"/>
      <c r="E33" s="166"/>
      <c r="F33" s="166"/>
      <c r="G33" s="166"/>
      <c r="H33" s="166"/>
      <c r="I33" s="166"/>
      <c r="J33" s="166"/>
      <c r="K33" s="166"/>
      <c r="L33" s="166"/>
      <c r="M33" s="166"/>
      <c r="N33" s="166"/>
    </row>
    <row r="34" spans="3:14" x14ac:dyDescent="0.25">
      <c r="C34" s="166"/>
      <c r="D34" s="166"/>
      <c r="E34" s="166"/>
      <c r="F34" s="166"/>
      <c r="G34" s="166"/>
      <c r="H34" s="166"/>
      <c r="I34" s="166"/>
      <c r="J34" s="166"/>
      <c r="K34" s="166"/>
      <c r="L34" s="166"/>
      <c r="M34" s="166"/>
      <c r="N34" s="166"/>
    </row>
    <row r="35" spans="3:14" x14ac:dyDescent="0.25">
      <c r="C35" s="166"/>
      <c r="D35" s="166"/>
      <c r="E35" s="166"/>
      <c r="F35" s="166"/>
      <c r="G35" s="166"/>
      <c r="H35" s="166"/>
      <c r="I35" s="166"/>
      <c r="J35" s="166"/>
      <c r="K35" s="166"/>
      <c r="L35" s="166"/>
      <c r="M35" s="166"/>
      <c r="N35" s="166"/>
    </row>
    <row r="36" spans="3:14" x14ac:dyDescent="0.25">
      <c r="C36" s="166"/>
      <c r="D36" s="166"/>
      <c r="E36" s="166"/>
      <c r="F36" s="166"/>
      <c r="G36" s="166"/>
      <c r="H36" s="166"/>
      <c r="I36" s="166"/>
      <c r="J36" s="166"/>
      <c r="K36" s="166"/>
      <c r="L36" s="166"/>
      <c r="M36" s="166"/>
      <c r="N36" s="166"/>
    </row>
    <row r="37" spans="3:14" x14ac:dyDescent="0.25">
      <c r="C37" s="166"/>
      <c r="D37" s="166"/>
      <c r="E37" s="166"/>
      <c r="F37" s="166"/>
      <c r="G37" s="166"/>
      <c r="H37" s="166"/>
      <c r="I37" s="166"/>
      <c r="J37" s="166"/>
      <c r="K37" s="166"/>
      <c r="L37" s="166"/>
      <c r="M37" s="166"/>
      <c r="N37" s="166"/>
    </row>
    <row r="38" spans="3:14" x14ac:dyDescent="0.25">
      <c r="C38" s="166"/>
      <c r="D38" s="166"/>
      <c r="E38" s="166"/>
      <c r="F38" s="166"/>
      <c r="G38" s="166"/>
      <c r="H38" s="166"/>
      <c r="I38" s="166"/>
      <c r="J38" s="166"/>
      <c r="K38" s="166"/>
      <c r="L38" s="166"/>
      <c r="M38" s="166"/>
      <c r="N38" s="166"/>
    </row>
    <row r="39" spans="3:14" x14ac:dyDescent="0.25">
      <c r="C39" s="166"/>
      <c r="D39" s="166"/>
      <c r="E39" s="166"/>
      <c r="F39" s="166"/>
      <c r="G39" s="166"/>
      <c r="H39" s="166"/>
      <c r="I39" s="166"/>
      <c r="J39" s="166"/>
      <c r="K39" s="166"/>
      <c r="L39" s="166"/>
      <c r="M39" s="166"/>
      <c r="N39" s="166"/>
    </row>
    <row r="40" spans="3:14" x14ac:dyDescent="0.25">
      <c r="C40" s="166"/>
      <c r="D40" s="166"/>
      <c r="E40" s="166"/>
      <c r="F40" s="166"/>
      <c r="G40" s="166"/>
      <c r="H40" s="166"/>
      <c r="I40" s="166"/>
      <c r="J40" s="166"/>
      <c r="K40" s="166"/>
      <c r="L40" s="166"/>
      <c r="M40" s="166"/>
      <c r="N40" s="166"/>
    </row>
    <row r="41" spans="3:14" x14ac:dyDescent="0.25">
      <c r="C41" s="166"/>
      <c r="D41" s="166"/>
      <c r="E41" s="166"/>
      <c r="F41" s="166"/>
      <c r="G41" s="166"/>
      <c r="H41" s="166"/>
      <c r="I41" s="166"/>
      <c r="J41" s="166"/>
      <c r="K41" s="166"/>
      <c r="L41" s="166"/>
      <c r="M41" s="166"/>
      <c r="N41" s="166"/>
    </row>
    <row r="42" spans="3:14" x14ac:dyDescent="0.25">
      <c r="C42" s="166"/>
      <c r="D42" s="166"/>
      <c r="E42" s="166"/>
      <c r="F42" s="167"/>
      <c r="G42" s="166"/>
      <c r="H42" s="166"/>
      <c r="I42" s="166"/>
      <c r="J42" s="166"/>
      <c r="K42" s="166"/>
      <c r="L42" s="166"/>
      <c r="M42" s="167"/>
      <c r="N42" s="166"/>
    </row>
    <row r="43" spans="3:14" x14ac:dyDescent="0.25">
      <c r="C43" s="166"/>
      <c r="D43" s="166"/>
      <c r="E43" s="166"/>
      <c r="F43" s="166"/>
      <c r="G43" s="166"/>
      <c r="H43" s="166"/>
      <c r="I43" s="166"/>
      <c r="J43" s="166"/>
      <c r="K43" s="166"/>
      <c r="L43" s="166"/>
      <c r="M43" s="166"/>
      <c r="N43" s="166"/>
    </row>
    <row r="44" spans="3:14" x14ac:dyDescent="0.25">
      <c r="C44" s="166"/>
      <c r="D44" s="166"/>
      <c r="E44" s="166"/>
      <c r="F44" s="166"/>
      <c r="G44" s="166"/>
      <c r="H44" s="166"/>
      <c r="I44" s="166"/>
      <c r="J44" s="166"/>
      <c r="K44" s="166"/>
      <c r="L44" s="166"/>
      <c r="M44" s="166"/>
      <c r="N44" s="166"/>
    </row>
  </sheetData>
  <mergeCells count="15">
    <mergeCell ref="A12:P13"/>
    <mergeCell ref="A6:P6"/>
    <mergeCell ref="A7:P7"/>
    <mergeCell ref="A8:P8"/>
    <mergeCell ref="A9:P9"/>
    <mergeCell ref="A10:P11"/>
    <mergeCell ref="O14:O15"/>
    <mergeCell ref="P14:P15"/>
    <mergeCell ref="A16:A17"/>
    <mergeCell ref="A14:A15"/>
    <mergeCell ref="B14:E14"/>
    <mergeCell ref="F14:F15"/>
    <mergeCell ref="G14:L14"/>
    <mergeCell ref="M14:M15"/>
    <mergeCell ref="N14:N15"/>
  </mergeCells>
  <printOptions horizontalCentered="1" verticalCentered="1"/>
  <pageMargins left="3.937007874015748E-2" right="3.937007874015748E-2" top="0.35433070866141736" bottom="0.39370078740157483" header="0.31496062992125984" footer="0.23622047244094491"/>
  <pageSetup scale="35" fitToHeight="0" orientation="landscape" r:id="rId1"/>
  <ignoredErrors>
    <ignoredError sqref="L1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O46"/>
  <sheetViews>
    <sheetView showGridLines="0" view="pageBreakPreview" zoomScale="40" zoomScaleNormal="60" zoomScaleSheetLayoutView="40" workbookViewId="0">
      <selection activeCell="O21" sqref="O21"/>
    </sheetView>
  </sheetViews>
  <sheetFormatPr baseColWidth="10" defaultColWidth="10.7109375" defaultRowHeight="15" x14ac:dyDescent="0.25"/>
  <cols>
    <col min="1" max="9" width="20.85546875" style="5" customWidth="1"/>
    <col min="10" max="256" width="10.7109375" style="5"/>
    <col min="257" max="265" width="20.85546875" style="5" customWidth="1"/>
    <col min="266" max="512" width="10.7109375" style="5"/>
    <col min="513" max="521" width="20.85546875" style="5" customWidth="1"/>
    <col min="522" max="768" width="10.7109375" style="5"/>
    <col min="769" max="777" width="20.85546875" style="5" customWidth="1"/>
    <col min="778" max="1024" width="10.7109375" style="5"/>
    <col min="1025" max="1033" width="20.85546875" style="5" customWidth="1"/>
    <col min="1034" max="1280" width="10.7109375" style="5"/>
    <col min="1281" max="1289" width="20.85546875" style="5" customWidth="1"/>
    <col min="1290" max="1536" width="10.7109375" style="5"/>
    <col min="1537" max="1545" width="20.85546875" style="5" customWidth="1"/>
    <col min="1546" max="1792" width="10.7109375" style="5"/>
    <col min="1793" max="1801" width="20.85546875" style="5" customWidth="1"/>
    <col min="1802" max="2048" width="10.7109375" style="5"/>
    <col min="2049" max="2057" width="20.85546875" style="5" customWidth="1"/>
    <col min="2058" max="2304" width="10.7109375" style="5"/>
    <col min="2305" max="2313" width="20.85546875" style="5" customWidth="1"/>
    <col min="2314" max="2560" width="10.7109375" style="5"/>
    <col min="2561" max="2569" width="20.85546875" style="5" customWidth="1"/>
    <col min="2570" max="2816" width="10.7109375" style="5"/>
    <col min="2817" max="2825" width="20.85546875" style="5" customWidth="1"/>
    <col min="2826" max="3072" width="10.7109375" style="5"/>
    <col min="3073" max="3081" width="20.85546875" style="5" customWidth="1"/>
    <col min="3082" max="3328" width="10.7109375" style="5"/>
    <col min="3329" max="3337" width="20.85546875" style="5" customWidth="1"/>
    <col min="3338" max="3584" width="10.7109375" style="5"/>
    <col min="3585" max="3593" width="20.85546875" style="5" customWidth="1"/>
    <col min="3594" max="3840" width="10.7109375" style="5"/>
    <col min="3841" max="3849" width="20.85546875" style="5" customWidth="1"/>
    <col min="3850" max="4096" width="10.7109375" style="5"/>
    <col min="4097" max="4105" width="20.85546875" style="5" customWidth="1"/>
    <col min="4106" max="4352" width="10.7109375" style="5"/>
    <col min="4353" max="4361" width="20.85546875" style="5" customWidth="1"/>
    <col min="4362" max="4608" width="10.7109375" style="5"/>
    <col min="4609" max="4617" width="20.85546875" style="5" customWidth="1"/>
    <col min="4618" max="4864" width="10.7109375" style="5"/>
    <col min="4865" max="4873" width="20.85546875" style="5" customWidth="1"/>
    <col min="4874" max="5120" width="10.7109375" style="5"/>
    <col min="5121" max="5129" width="20.85546875" style="5" customWidth="1"/>
    <col min="5130" max="5376" width="10.7109375" style="5"/>
    <col min="5377" max="5385" width="20.85546875" style="5" customWidth="1"/>
    <col min="5386" max="5632" width="10.7109375" style="5"/>
    <col min="5633" max="5641" width="20.85546875" style="5" customWidth="1"/>
    <col min="5642" max="5888" width="10.7109375" style="5"/>
    <col min="5889" max="5897" width="20.85546875" style="5" customWidth="1"/>
    <col min="5898" max="6144" width="10.7109375" style="5"/>
    <col min="6145" max="6153" width="20.85546875" style="5" customWidth="1"/>
    <col min="6154" max="6400" width="10.7109375" style="5"/>
    <col min="6401" max="6409" width="20.85546875" style="5" customWidth="1"/>
    <col min="6410" max="6656" width="10.7109375" style="5"/>
    <col min="6657" max="6665" width="20.85546875" style="5" customWidth="1"/>
    <col min="6666" max="6912" width="10.7109375" style="5"/>
    <col min="6913" max="6921" width="20.85546875" style="5" customWidth="1"/>
    <col min="6922" max="7168" width="10.7109375" style="5"/>
    <col min="7169" max="7177" width="20.85546875" style="5" customWidth="1"/>
    <col min="7178" max="7424" width="10.7109375" style="5"/>
    <col min="7425" max="7433" width="20.85546875" style="5" customWidth="1"/>
    <col min="7434" max="7680" width="10.7109375" style="5"/>
    <col min="7681" max="7689" width="20.85546875" style="5" customWidth="1"/>
    <col min="7690" max="7936" width="10.7109375" style="5"/>
    <col min="7937" max="7945" width="20.85546875" style="5" customWidth="1"/>
    <col min="7946" max="8192" width="10.7109375" style="5"/>
    <col min="8193" max="8201" width="20.85546875" style="5" customWidth="1"/>
    <col min="8202" max="8448" width="10.7109375" style="5"/>
    <col min="8449" max="8457" width="20.85546875" style="5" customWidth="1"/>
    <col min="8458" max="8704" width="10.7109375" style="5"/>
    <col min="8705" max="8713" width="20.85546875" style="5" customWidth="1"/>
    <col min="8714" max="8960" width="10.7109375" style="5"/>
    <col min="8961" max="8969" width="20.85546875" style="5" customWidth="1"/>
    <col min="8970" max="9216" width="10.7109375" style="5"/>
    <col min="9217" max="9225" width="20.85546875" style="5" customWidth="1"/>
    <col min="9226" max="9472" width="10.7109375" style="5"/>
    <col min="9473" max="9481" width="20.85546875" style="5" customWidth="1"/>
    <col min="9482" max="9728" width="10.7109375" style="5"/>
    <col min="9729" max="9737" width="20.85546875" style="5" customWidth="1"/>
    <col min="9738" max="9984" width="10.7109375" style="5"/>
    <col min="9985" max="9993" width="20.85546875" style="5" customWidth="1"/>
    <col min="9994" max="10240" width="10.7109375" style="5"/>
    <col min="10241" max="10249" width="20.85546875" style="5" customWidth="1"/>
    <col min="10250" max="10496" width="10.7109375" style="5"/>
    <col min="10497" max="10505" width="20.85546875" style="5" customWidth="1"/>
    <col min="10506" max="10752" width="10.7109375" style="5"/>
    <col min="10753" max="10761" width="20.85546875" style="5" customWidth="1"/>
    <col min="10762" max="11008" width="10.7109375" style="5"/>
    <col min="11009" max="11017" width="20.85546875" style="5" customWidth="1"/>
    <col min="11018" max="11264" width="10.7109375" style="5"/>
    <col min="11265" max="11273" width="20.85546875" style="5" customWidth="1"/>
    <col min="11274" max="11520" width="10.7109375" style="5"/>
    <col min="11521" max="11529" width="20.85546875" style="5" customWidth="1"/>
    <col min="11530" max="11776" width="10.7109375" style="5"/>
    <col min="11777" max="11785" width="20.85546875" style="5" customWidth="1"/>
    <col min="11786" max="12032" width="10.7109375" style="5"/>
    <col min="12033" max="12041" width="20.85546875" style="5" customWidth="1"/>
    <col min="12042" max="12288" width="10.7109375" style="5"/>
    <col min="12289" max="12297" width="20.85546875" style="5" customWidth="1"/>
    <col min="12298" max="12544" width="10.7109375" style="5"/>
    <col min="12545" max="12553" width="20.85546875" style="5" customWidth="1"/>
    <col min="12554" max="12800" width="10.7109375" style="5"/>
    <col min="12801" max="12809" width="20.85546875" style="5" customWidth="1"/>
    <col min="12810" max="13056" width="10.7109375" style="5"/>
    <col min="13057" max="13065" width="20.85546875" style="5" customWidth="1"/>
    <col min="13066" max="13312" width="10.7109375" style="5"/>
    <col min="13313" max="13321" width="20.85546875" style="5" customWidth="1"/>
    <col min="13322" max="13568" width="10.7109375" style="5"/>
    <col min="13569" max="13577" width="20.85546875" style="5" customWidth="1"/>
    <col min="13578" max="13824" width="10.7109375" style="5"/>
    <col min="13825" max="13833" width="20.85546875" style="5" customWidth="1"/>
    <col min="13834" max="14080" width="10.7109375" style="5"/>
    <col min="14081" max="14089" width="20.85546875" style="5" customWidth="1"/>
    <col min="14090" max="14336" width="10.7109375" style="5"/>
    <col min="14337" max="14345" width="20.85546875" style="5" customWidth="1"/>
    <col min="14346" max="14592" width="10.7109375" style="5"/>
    <col min="14593" max="14601" width="20.85546875" style="5" customWidth="1"/>
    <col min="14602" max="14848" width="10.7109375" style="5"/>
    <col min="14849" max="14857" width="20.85546875" style="5" customWidth="1"/>
    <col min="14858" max="15104" width="10.7109375" style="5"/>
    <col min="15105" max="15113" width="20.85546875" style="5" customWidth="1"/>
    <col min="15114" max="15360" width="10.7109375" style="5"/>
    <col min="15361" max="15369" width="20.85546875" style="5" customWidth="1"/>
    <col min="15370" max="15616" width="10.7109375" style="5"/>
    <col min="15617" max="15625" width="20.85546875" style="5" customWidth="1"/>
    <col min="15626" max="15872" width="10.7109375" style="5"/>
    <col min="15873" max="15881" width="20.85546875" style="5" customWidth="1"/>
    <col min="15882" max="16128" width="10.7109375" style="5"/>
    <col min="16129" max="16137" width="20.85546875" style="5" customWidth="1"/>
    <col min="16138" max="16384" width="10.7109375" style="5"/>
  </cols>
  <sheetData>
    <row r="1" spans="1:12" x14ac:dyDescent="0.25">
      <c r="A1" s="4"/>
      <c r="B1" s="4"/>
      <c r="C1" s="4"/>
      <c r="D1" s="4"/>
      <c r="E1" s="4"/>
      <c r="F1" s="4"/>
      <c r="G1" s="4"/>
      <c r="H1" s="4"/>
      <c r="I1" s="4"/>
    </row>
    <row r="2" spans="1:12" x14ac:dyDescent="0.25">
      <c r="A2" s="4"/>
      <c r="B2" s="4"/>
      <c r="C2" s="4"/>
      <c r="D2" s="4"/>
      <c r="E2" s="4"/>
      <c r="F2" s="4"/>
      <c r="G2" s="4"/>
      <c r="H2" s="4"/>
      <c r="I2" s="4"/>
    </row>
    <row r="3" spans="1:12" x14ac:dyDescent="0.25">
      <c r="A3" s="4"/>
      <c r="B3" s="4"/>
      <c r="C3" s="4"/>
      <c r="D3" s="4"/>
      <c r="E3" s="4"/>
      <c r="F3" s="4"/>
      <c r="G3" s="4"/>
      <c r="H3" s="4"/>
      <c r="I3" s="4"/>
    </row>
    <row r="4" spans="1:12" x14ac:dyDescent="0.25">
      <c r="A4" s="4"/>
      <c r="B4" s="4"/>
      <c r="C4" s="4"/>
      <c r="D4" s="4"/>
      <c r="E4" s="4"/>
      <c r="F4" s="4"/>
      <c r="G4" s="4"/>
      <c r="H4" s="4"/>
      <c r="I4" s="4"/>
      <c r="J4" s="170"/>
      <c r="K4" s="170"/>
      <c r="L4" s="170"/>
    </row>
    <row r="5" spans="1:12" x14ac:dyDescent="0.25">
      <c r="A5" s="4"/>
      <c r="B5" s="4"/>
      <c r="C5" s="4"/>
      <c r="D5" s="4"/>
      <c r="E5" s="4"/>
      <c r="F5" s="4"/>
      <c r="G5" s="4"/>
      <c r="H5" s="4"/>
      <c r="I5" s="4"/>
      <c r="J5" s="219"/>
      <c r="K5" s="219"/>
      <c r="L5" s="219"/>
    </row>
    <row r="6" spans="1:12" x14ac:dyDescent="0.25">
      <c r="A6" s="4"/>
      <c r="B6" s="4"/>
      <c r="C6" s="4"/>
      <c r="D6" s="4"/>
      <c r="E6" s="4"/>
      <c r="F6" s="4"/>
      <c r="G6" s="4"/>
      <c r="H6" s="4"/>
      <c r="I6" s="4"/>
      <c r="J6" s="219"/>
      <c r="K6" s="219"/>
      <c r="L6" s="219"/>
    </row>
    <row r="7" spans="1:12" ht="20.25" x14ac:dyDescent="0.25">
      <c r="A7" s="220" t="s">
        <v>3</v>
      </c>
      <c r="B7" s="220"/>
      <c r="C7" s="220"/>
      <c r="D7" s="220"/>
      <c r="E7" s="220"/>
      <c r="F7" s="220"/>
      <c r="G7" s="220"/>
      <c r="H7" s="220"/>
      <c r="I7" s="220"/>
    </row>
    <row r="8" spans="1:12" ht="20.25" x14ac:dyDescent="0.25">
      <c r="A8" s="221" t="s">
        <v>4</v>
      </c>
      <c r="B8" s="221"/>
      <c r="C8" s="221"/>
      <c r="D8" s="221"/>
      <c r="E8" s="221"/>
      <c r="F8" s="221"/>
      <c r="G8" s="221"/>
      <c r="H8" s="221"/>
      <c r="I8" s="221"/>
    </row>
    <row r="9" spans="1:12" ht="21" thickBot="1" x14ac:dyDescent="0.3">
      <c r="A9" s="222" t="str">
        <f>+IF(Presentación!B1="","-","Informe de Ejecución del "&amp;Presentación!B1&amp;" del POA 2021 del INESPRE.")</f>
        <v>Informe de Ejecución del Cuarto Trimestre del POA 2021 del INESPRE.</v>
      </c>
      <c r="B9" s="222"/>
      <c r="C9" s="222"/>
      <c r="D9" s="222"/>
      <c r="E9" s="222"/>
      <c r="F9" s="222"/>
      <c r="G9" s="222"/>
      <c r="H9" s="222"/>
      <c r="I9" s="222"/>
    </row>
    <row r="10" spans="1:12" ht="12.95" customHeight="1" thickBot="1" x14ac:dyDescent="0.3">
      <c r="A10" s="321" t="s">
        <v>5</v>
      </c>
      <c r="B10" s="322"/>
      <c r="C10" s="322"/>
      <c r="D10" s="322"/>
      <c r="E10" s="322"/>
      <c r="F10" s="322"/>
      <c r="G10" s="322"/>
      <c r="H10" s="322"/>
      <c r="I10" s="322"/>
    </row>
    <row r="11" spans="1:12" ht="12.95" customHeight="1" thickBot="1" x14ac:dyDescent="0.3">
      <c r="A11" s="323"/>
      <c r="B11" s="223"/>
      <c r="C11" s="223"/>
      <c r="D11" s="223"/>
      <c r="E11" s="223"/>
      <c r="F11" s="223"/>
      <c r="G11" s="223"/>
      <c r="H11" s="223"/>
      <c r="I11" s="223"/>
    </row>
    <row r="12" spans="1:12" ht="12.95" customHeight="1" thickBot="1" x14ac:dyDescent="0.3">
      <c r="A12" s="323"/>
      <c r="B12" s="223"/>
      <c r="C12" s="223"/>
      <c r="D12" s="223"/>
      <c r="E12" s="223"/>
      <c r="F12" s="223"/>
      <c r="G12" s="223"/>
      <c r="H12" s="223"/>
      <c r="I12" s="223"/>
    </row>
    <row r="13" spans="1:12" ht="20.100000000000001" customHeight="1" thickTop="1" thickBot="1" x14ac:dyDescent="0.3">
      <c r="A13" s="324" t="s">
        <v>6</v>
      </c>
      <c r="B13" s="224"/>
      <c r="C13" s="224"/>
      <c r="D13" s="224"/>
      <c r="E13" s="224"/>
      <c r="F13" s="224"/>
      <c r="G13" s="224"/>
      <c r="H13" s="224"/>
      <c r="I13" s="224"/>
    </row>
    <row r="14" spans="1:12" ht="20.100000000000001" customHeight="1" thickTop="1" thickBot="1" x14ac:dyDescent="0.3">
      <c r="A14" s="324"/>
      <c r="B14" s="224"/>
      <c r="C14" s="224"/>
      <c r="D14" s="224"/>
      <c r="E14" s="224"/>
      <c r="F14" s="224"/>
      <c r="G14" s="224"/>
      <c r="H14" s="224"/>
      <c r="I14" s="224"/>
    </row>
    <row r="15" spans="1:12" ht="20.100000000000001" customHeight="1" thickTop="1" thickBot="1" x14ac:dyDescent="0.3">
      <c r="A15" s="325" t="s">
        <v>7</v>
      </c>
      <c r="B15" s="201"/>
      <c r="C15" s="201"/>
      <c r="D15" s="212" t="s">
        <v>8</v>
      </c>
      <c r="E15" s="213"/>
      <c r="F15" s="214"/>
      <c r="G15" s="218" t="s">
        <v>889</v>
      </c>
      <c r="H15" s="218"/>
      <c r="I15" s="218"/>
    </row>
    <row r="16" spans="1:12" ht="16.5" thickTop="1" thickBot="1" x14ac:dyDescent="0.3">
      <c r="A16" s="325"/>
      <c r="B16" s="201"/>
      <c r="C16" s="201"/>
      <c r="D16" s="215"/>
      <c r="E16" s="216"/>
      <c r="F16" s="217"/>
      <c r="G16" s="218"/>
      <c r="H16" s="218"/>
      <c r="I16" s="218"/>
    </row>
    <row r="17" spans="1:11" ht="20.100000000000001" customHeight="1" thickTop="1" thickBot="1" x14ac:dyDescent="0.3">
      <c r="A17" s="325" t="s">
        <v>909</v>
      </c>
      <c r="B17" s="201"/>
      <c r="C17" s="201"/>
      <c r="D17" s="212" t="s">
        <v>10</v>
      </c>
      <c r="E17" s="213"/>
      <c r="F17" s="214"/>
      <c r="G17" s="210" t="s">
        <v>890</v>
      </c>
      <c r="H17" s="210"/>
      <c r="I17" s="210"/>
    </row>
    <row r="18" spans="1:11" ht="20.100000000000001" customHeight="1" thickTop="1" thickBot="1" x14ac:dyDescent="0.3">
      <c r="A18" s="325"/>
      <c r="B18" s="201"/>
      <c r="C18" s="201"/>
      <c r="D18" s="215"/>
      <c r="E18" s="216"/>
      <c r="F18" s="217"/>
      <c r="G18" s="210"/>
      <c r="H18" s="210"/>
      <c r="I18" s="210"/>
    </row>
    <row r="19" spans="1:11" ht="20.100000000000001" customHeight="1" thickTop="1" thickBot="1" x14ac:dyDescent="0.3">
      <c r="A19" s="325" t="s">
        <v>9</v>
      </c>
      <c r="B19" s="201"/>
      <c r="C19" s="201"/>
      <c r="D19" s="202" t="s">
        <v>891</v>
      </c>
      <c r="E19" s="202"/>
      <c r="F19" s="202"/>
      <c r="G19" s="210" t="s">
        <v>892</v>
      </c>
      <c r="H19" s="210"/>
      <c r="I19" s="210"/>
    </row>
    <row r="20" spans="1:11" ht="20.100000000000001" customHeight="1" thickTop="1" thickBot="1" x14ac:dyDescent="0.3">
      <c r="A20" s="325"/>
      <c r="B20" s="201"/>
      <c r="C20" s="201"/>
      <c r="D20" s="202"/>
      <c r="E20" s="202"/>
      <c r="F20" s="202"/>
      <c r="G20" s="210"/>
      <c r="H20" s="210"/>
      <c r="I20" s="210"/>
    </row>
    <row r="21" spans="1:11" ht="20.100000000000001" customHeight="1" thickTop="1" thickBot="1" x14ac:dyDescent="0.3">
      <c r="A21" s="325" t="s">
        <v>888</v>
      </c>
      <c r="B21" s="201"/>
      <c r="C21" s="201"/>
      <c r="D21" s="202" t="s">
        <v>893</v>
      </c>
      <c r="E21" s="202"/>
      <c r="F21" s="202"/>
      <c r="G21" s="211"/>
      <c r="H21" s="211"/>
      <c r="I21" s="211"/>
    </row>
    <row r="22" spans="1:11" ht="20.100000000000001" customHeight="1" thickTop="1" thickBot="1" x14ac:dyDescent="0.3">
      <c r="A22" s="325"/>
      <c r="B22" s="201"/>
      <c r="C22" s="201"/>
      <c r="D22" s="202"/>
      <c r="E22" s="202"/>
      <c r="F22" s="202"/>
      <c r="G22" s="211"/>
      <c r="H22" s="211"/>
      <c r="I22" s="211"/>
    </row>
    <row r="23" spans="1:11" ht="20.100000000000001" customHeight="1" thickTop="1" thickBot="1" x14ac:dyDescent="0.3">
      <c r="A23" s="325" t="s">
        <v>11</v>
      </c>
      <c r="B23" s="201"/>
      <c r="C23" s="201"/>
      <c r="D23" s="202" t="s">
        <v>12</v>
      </c>
      <c r="E23" s="202"/>
      <c r="F23" s="202"/>
      <c r="G23" s="203"/>
      <c r="H23" s="204"/>
      <c r="I23" s="205"/>
    </row>
    <row r="24" spans="1:11" ht="20.100000000000001" customHeight="1" thickTop="1" thickBot="1" x14ac:dyDescent="0.3">
      <c r="A24" s="325"/>
      <c r="B24" s="201"/>
      <c r="C24" s="201"/>
      <c r="D24" s="202"/>
      <c r="E24" s="202"/>
      <c r="F24" s="202"/>
      <c r="G24" s="206"/>
      <c r="H24" s="207"/>
      <c r="I24" s="208"/>
    </row>
    <row r="25" spans="1:11" ht="20.100000000000001" customHeight="1" thickTop="1" thickBot="1" x14ac:dyDescent="0.3">
      <c r="A25" s="325" t="s">
        <v>894</v>
      </c>
      <c r="B25" s="201"/>
      <c r="C25" s="201"/>
      <c r="D25" s="202" t="s">
        <v>895</v>
      </c>
      <c r="E25" s="202"/>
      <c r="F25" s="202"/>
      <c r="G25" s="202"/>
      <c r="H25" s="201"/>
      <c r="I25" s="209"/>
      <c r="K25" s="6"/>
    </row>
    <row r="26" spans="1:11" ht="20.100000000000001" customHeight="1" thickTop="1" thickBot="1" x14ac:dyDescent="0.3">
      <c r="A26" s="325"/>
      <c r="B26" s="201"/>
      <c r="C26" s="201"/>
      <c r="D26" s="202"/>
      <c r="E26" s="202"/>
      <c r="F26" s="202"/>
      <c r="G26" s="202"/>
      <c r="H26" s="201"/>
      <c r="I26" s="209"/>
    </row>
    <row r="27" spans="1:11" ht="20.100000000000001" customHeight="1" thickTop="1" thickBot="1" x14ac:dyDescent="0.3">
      <c r="A27" s="326" t="s">
        <v>896</v>
      </c>
      <c r="B27" s="197"/>
      <c r="C27" s="197"/>
      <c r="D27" s="198" t="s">
        <v>897</v>
      </c>
      <c r="E27" s="198"/>
      <c r="F27" s="198"/>
      <c r="G27" s="199"/>
      <c r="H27" s="199"/>
      <c r="I27" s="199"/>
    </row>
    <row r="28" spans="1:11" ht="20.100000000000001" customHeight="1" thickTop="1" x14ac:dyDescent="0.25">
      <c r="A28" s="326"/>
      <c r="B28" s="197"/>
      <c r="C28" s="197"/>
      <c r="D28" s="198"/>
      <c r="E28" s="198"/>
      <c r="F28" s="198"/>
      <c r="G28" s="199"/>
      <c r="H28" s="199"/>
      <c r="I28" s="199"/>
    </row>
    <row r="29" spans="1:11" ht="18" customHeight="1" x14ac:dyDescent="0.25">
      <c r="A29" s="327" t="s">
        <v>13</v>
      </c>
      <c r="B29" s="200"/>
      <c r="C29" s="200"/>
      <c r="D29" s="200"/>
      <c r="E29" s="200"/>
      <c r="F29" s="200"/>
      <c r="G29" s="200"/>
      <c r="H29" s="200"/>
      <c r="I29" s="200"/>
    </row>
    <row r="30" spans="1:11" ht="18" customHeight="1" thickBot="1" x14ac:dyDescent="0.3">
      <c r="A30" s="327"/>
      <c r="B30" s="200"/>
      <c r="C30" s="200"/>
      <c r="D30" s="200"/>
      <c r="E30" s="200"/>
      <c r="F30" s="200"/>
      <c r="G30" s="200"/>
      <c r="H30" s="200"/>
      <c r="I30" s="200"/>
    </row>
    <row r="31" spans="1:11" ht="15" customHeight="1" thickBot="1" x14ac:dyDescent="0.3">
      <c r="A31" s="328" t="s">
        <v>898</v>
      </c>
      <c r="B31" s="176"/>
      <c r="C31" s="176"/>
      <c r="D31" s="187"/>
      <c r="E31" s="7"/>
      <c r="F31" s="175" t="s">
        <v>14</v>
      </c>
      <c r="G31" s="176"/>
      <c r="H31" s="176"/>
      <c r="I31" s="177"/>
    </row>
    <row r="32" spans="1:11" ht="15" customHeight="1" thickBot="1" x14ac:dyDescent="0.3">
      <c r="A32" s="329"/>
      <c r="B32" s="179"/>
      <c r="C32" s="179"/>
      <c r="D32" s="188"/>
      <c r="E32" s="7"/>
      <c r="F32" s="178"/>
      <c r="G32" s="179"/>
      <c r="H32" s="179"/>
      <c r="I32" s="180"/>
    </row>
    <row r="33" spans="1:15" ht="15" customHeight="1" thickBot="1" x14ac:dyDescent="0.3">
      <c r="A33" s="329"/>
      <c r="B33" s="179"/>
      <c r="C33" s="179"/>
      <c r="D33" s="188"/>
      <c r="E33" s="7"/>
      <c r="F33" s="178"/>
      <c r="G33" s="179"/>
      <c r="H33" s="179"/>
      <c r="I33" s="180"/>
    </row>
    <row r="34" spans="1:15" ht="15" customHeight="1" thickBot="1" x14ac:dyDescent="0.3">
      <c r="A34" s="329"/>
      <c r="B34" s="179"/>
      <c r="C34" s="179"/>
      <c r="D34" s="188"/>
      <c r="E34" s="7"/>
      <c r="F34" s="178"/>
      <c r="G34" s="179"/>
      <c r="H34" s="179"/>
      <c r="I34" s="180"/>
      <c r="L34"/>
      <c r="M34"/>
      <c r="N34"/>
      <c r="O34"/>
    </row>
    <row r="35" spans="1:15" ht="15" customHeight="1" thickBot="1" x14ac:dyDescent="0.3">
      <c r="A35" s="329"/>
      <c r="B35" s="179"/>
      <c r="C35" s="179"/>
      <c r="D35" s="188"/>
      <c r="E35" s="7"/>
      <c r="F35" s="178" t="s">
        <v>912</v>
      </c>
      <c r="G35" s="179"/>
      <c r="H35" s="179"/>
      <c r="I35" s="180"/>
      <c r="L35"/>
      <c r="M35"/>
      <c r="N35"/>
      <c r="O35"/>
    </row>
    <row r="36" spans="1:15" ht="15" customHeight="1" thickBot="1" x14ac:dyDescent="0.3">
      <c r="A36" s="330"/>
      <c r="B36" s="189"/>
      <c r="C36" s="189"/>
      <c r="D36" s="190"/>
      <c r="E36" s="7"/>
      <c r="F36" s="178"/>
      <c r="G36" s="179"/>
      <c r="H36" s="179"/>
      <c r="I36" s="180"/>
      <c r="L36"/>
      <c r="M36"/>
      <c r="N36"/>
      <c r="O36"/>
    </row>
    <row r="37" spans="1:15" ht="15" customHeight="1" thickBot="1" x14ac:dyDescent="0.3">
      <c r="A37" s="331" t="s">
        <v>906</v>
      </c>
      <c r="B37" s="191"/>
      <c r="C37" s="191"/>
      <c r="D37" s="192"/>
      <c r="E37" s="7"/>
      <c r="F37" s="178"/>
      <c r="G37" s="179"/>
      <c r="H37" s="179"/>
      <c r="I37" s="180"/>
      <c r="L37"/>
      <c r="M37"/>
      <c r="N37"/>
      <c r="O37"/>
    </row>
    <row r="38" spans="1:15" ht="15" customHeight="1" thickBot="1" x14ac:dyDescent="0.3">
      <c r="A38" s="332"/>
      <c r="B38" s="193"/>
      <c r="C38" s="193"/>
      <c r="D38" s="194"/>
      <c r="E38" s="7"/>
      <c r="F38" s="178"/>
      <c r="G38" s="179"/>
      <c r="H38" s="179"/>
      <c r="I38" s="180"/>
      <c r="L38"/>
      <c r="M38"/>
      <c r="N38"/>
      <c r="O38"/>
    </row>
    <row r="39" spans="1:15" ht="15" customHeight="1" thickBot="1" x14ac:dyDescent="0.3">
      <c r="A39" s="332"/>
      <c r="B39" s="193"/>
      <c r="C39" s="193"/>
      <c r="D39" s="194"/>
      <c r="E39" s="7"/>
      <c r="F39" s="178" t="s">
        <v>913</v>
      </c>
      <c r="G39" s="179"/>
      <c r="H39" s="179"/>
      <c r="I39" s="180"/>
      <c r="L39"/>
      <c r="M39"/>
      <c r="N39"/>
      <c r="O39"/>
    </row>
    <row r="40" spans="1:15" ht="15" customHeight="1" thickBot="1" x14ac:dyDescent="0.3">
      <c r="A40" s="332"/>
      <c r="B40" s="193"/>
      <c r="C40" s="193"/>
      <c r="D40" s="194"/>
      <c r="E40" s="7"/>
      <c r="F40" s="178"/>
      <c r="G40" s="179"/>
      <c r="H40" s="179"/>
      <c r="I40" s="180"/>
      <c r="L40"/>
      <c r="M40"/>
      <c r="N40"/>
      <c r="O40"/>
    </row>
    <row r="41" spans="1:15" ht="15" customHeight="1" thickBot="1" x14ac:dyDescent="0.3">
      <c r="A41" s="332"/>
      <c r="B41" s="193"/>
      <c r="C41" s="193"/>
      <c r="D41" s="194"/>
      <c r="E41" s="7"/>
      <c r="F41" s="178"/>
      <c r="G41" s="179"/>
      <c r="H41" s="179"/>
      <c r="I41" s="180"/>
      <c r="L41"/>
      <c r="M41"/>
      <c r="N41"/>
      <c r="O41"/>
    </row>
    <row r="42" spans="1:15" ht="15.75" customHeight="1" thickBot="1" x14ac:dyDescent="0.3">
      <c r="A42" s="333"/>
      <c r="B42" s="195"/>
      <c r="C42" s="195"/>
      <c r="D42" s="196"/>
      <c r="E42" s="8"/>
      <c r="F42" s="181"/>
      <c r="G42" s="182"/>
      <c r="H42" s="182"/>
      <c r="I42" s="183"/>
      <c r="L42"/>
      <c r="M42"/>
      <c r="N42"/>
      <c r="O42"/>
    </row>
    <row r="43" spans="1:15" ht="21.75" customHeight="1" thickBot="1" x14ac:dyDescent="0.3">
      <c r="A43" s="334" t="s">
        <v>15</v>
      </c>
      <c r="B43" s="184"/>
      <c r="C43" s="184"/>
      <c r="D43" s="184"/>
      <c r="E43" s="184"/>
      <c r="F43" s="184"/>
      <c r="G43" s="184"/>
      <c r="H43" s="184"/>
      <c r="I43" s="184"/>
    </row>
    <row r="44" spans="1:15" ht="155.1" customHeight="1" thickBot="1" x14ac:dyDescent="0.3">
      <c r="A44" s="335" t="s">
        <v>910</v>
      </c>
      <c r="B44" s="185"/>
      <c r="C44" s="185"/>
      <c r="D44" s="185"/>
      <c r="E44" s="186" t="s">
        <v>911</v>
      </c>
      <c r="F44" s="186"/>
      <c r="G44" s="186"/>
      <c r="H44" s="186"/>
      <c r="I44" s="186"/>
    </row>
    <row r="45" spans="1:15" ht="155.1" customHeight="1" thickBot="1" x14ac:dyDescent="0.3">
      <c r="A45" s="335" t="s">
        <v>16</v>
      </c>
      <c r="B45" s="185"/>
      <c r="C45" s="185"/>
      <c r="D45" s="185"/>
      <c r="E45" s="186"/>
      <c r="F45" s="186"/>
      <c r="G45" s="186"/>
      <c r="H45" s="186"/>
      <c r="I45" s="186"/>
    </row>
    <row r="46" spans="1:15" ht="155.1" customHeight="1" thickBot="1" x14ac:dyDescent="0.3">
      <c r="A46" s="335" t="s">
        <v>17</v>
      </c>
      <c r="B46" s="185"/>
      <c r="C46" s="185"/>
      <c r="D46" s="185"/>
      <c r="E46" s="186"/>
      <c r="F46" s="186"/>
      <c r="G46" s="186"/>
      <c r="H46" s="186"/>
      <c r="I46" s="186"/>
    </row>
  </sheetData>
  <sheetProtection selectLockedCells="1" selectUnlockedCells="1"/>
  <mergeCells count="38">
    <mergeCell ref="A13:I14"/>
    <mergeCell ref="J5:L6"/>
    <mergeCell ref="A7:I7"/>
    <mergeCell ref="A8:I8"/>
    <mergeCell ref="A9:I9"/>
    <mergeCell ref="A10:I12"/>
    <mergeCell ref="A15:C16"/>
    <mergeCell ref="D15:F16"/>
    <mergeCell ref="G15:I16"/>
    <mergeCell ref="A17:C18"/>
    <mergeCell ref="D17:F18"/>
    <mergeCell ref="G17:I18"/>
    <mergeCell ref="A19:C20"/>
    <mergeCell ref="D19:F20"/>
    <mergeCell ref="G19:I20"/>
    <mergeCell ref="A21:C22"/>
    <mergeCell ref="D21:F22"/>
    <mergeCell ref="G21:I22"/>
    <mergeCell ref="A27:C28"/>
    <mergeCell ref="D27:F28"/>
    <mergeCell ref="G27:I28"/>
    <mergeCell ref="A29:I30"/>
    <mergeCell ref="A23:C24"/>
    <mergeCell ref="D23:F24"/>
    <mergeCell ref="G23:I24"/>
    <mergeCell ref="A25:C26"/>
    <mergeCell ref="D25:F26"/>
    <mergeCell ref="G25:I26"/>
    <mergeCell ref="F31:I34"/>
    <mergeCell ref="F35:I38"/>
    <mergeCell ref="F39:I42"/>
    <mergeCell ref="A43:I43"/>
    <mergeCell ref="A44:D44"/>
    <mergeCell ref="E44:I46"/>
    <mergeCell ref="A45:D45"/>
    <mergeCell ref="A46:D46"/>
    <mergeCell ref="A31:D36"/>
    <mergeCell ref="A37:D42"/>
  </mergeCells>
  <pageMargins left="0.7" right="0.7" top="0.75" bottom="0.75" header="0.51180555555555551" footer="0.51180555555555551"/>
  <pageSetup scale="48" firstPageNumber="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R32"/>
  <sheetViews>
    <sheetView showGridLines="0" zoomScale="40" zoomScaleNormal="40" zoomScaleSheetLayoutView="20" workbookViewId="0"/>
  </sheetViews>
  <sheetFormatPr baseColWidth="10" defaultColWidth="11.42578125" defaultRowHeight="15" x14ac:dyDescent="0.25"/>
  <cols>
    <col min="1" max="1" width="36.85546875" style="28" customWidth="1"/>
    <col min="2" max="2" width="25.7109375" style="28" customWidth="1"/>
    <col min="3" max="5" width="20.7109375" style="28" customWidth="1"/>
    <col min="6" max="6" width="37.85546875" style="28" customWidth="1"/>
    <col min="7" max="8" width="15.7109375" style="28" customWidth="1"/>
    <col min="9" max="9" width="17.140625" style="28" customWidth="1"/>
    <col min="10" max="11" width="15.7109375" style="28" customWidth="1"/>
    <col min="12" max="12" width="16.28515625" style="28" customWidth="1"/>
    <col min="13" max="13" width="22.28515625" style="28" customWidth="1"/>
    <col min="14" max="14" width="19.85546875" style="28" customWidth="1"/>
    <col min="15" max="15" width="34.42578125" style="28" customWidth="1"/>
    <col min="16" max="16" width="31.28515625" style="28" customWidth="1"/>
    <col min="17" max="16384" width="11.42578125" style="28"/>
  </cols>
  <sheetData>
    <row r="1" spans="1:18" ht="99.95" customHeight="1" x14ac:dyDescent="0.25"/>
    <row r="2" spans="1:18" ht="44.1" customHeight="1" x14ac:dyDescent="0.25">
      <c r="A2" s="9"/>
      <c r="B2" s="9"/>
      <c r="C2" s="9"/>
      <c r="D2" s="9"/>
      <c r="E2" s="9"/>
      <c r="F2" s="9"/>
      <c r="G2" s="9"/>
      <c r="H2" s="9"/>
      <c r="I2" s="9"/>
      <c r="J2" s="9"/>
      <c r="K2" s="9"/>
      <c r="L2" s="9"/>
      <c r="M2" s="9"/>
      <c r="N2" s="9"/>
      <c r="O2" s="9"/>
      <c r="P2" s="9"/>
    </row>
    <row r="3" spans="1:18" ht="44.1" customHeight="1" x14ac:dyDescent="0.25">
      <c r="A3" s="9"/>
      <c r="B3" s="9"/>
      <c r="C3" s="9"/>
      <c r="D3" s="9"/>
      <c r="E3" s="9"/>
      <c r="F3" s="9"/>
      <c r="G3" s="9"/>
      <c r="H3" s="9"/>
      <c r="I3" s="9"/>
      <c r="J3" s="9"/>
      <c r="K3" s="9"/>
      <c r="L3" s="9"/>
      <c r="M3" s="9"/>
      <c r="N3" s="9"/>
      <c r="O3" s="9"/>
      <c r="P3" s="9"/>
    </row>
    <row r="4" spans="1:18" ht="44.1" customHeight="1" x14ac:dyDescent="0.25">
      <c r="A4" s="9"/>
      <c r="B4" s="9"/>
      <c r="C4" s="9"/>
      <c r="D4" s="9"/>
      <c r="E4" s="9"/>
      <c r="F4" s="9"/>
      <c r="G4" s="9"/>
      <c r="H4" s="9"/>
      <c r="I4" s="9"/>
      <c r="J4" s="9"/>
      <c r="K4" s="9"/>
      <c r="L4" s="9"/>
      <c r="M4" s="9"/>
      <c r="N4" s="9"/>
      <c r="O4" s="9"/>
      <c r="P4" s="9"/>
    </row>
    <row r="5" spans="1:18" ht="44.1" customHeight="1" thickBot="1" x14ac:dyDescent="0.3">
      <c r="A5" s="9"/>
      <c r="B5" s="9"/>
      <c r="C5" s="9"/>
      <c r="D5" s="9"/>
      <c r="E5" s="9"/>
      <c r="F5" s="9"/>
      <c r="G5" s="9"/>
      <c r="H5" s="9"/>
      <c r="I5" s="9"/>
      <c r="J5" s="9"/>
      <c r="K5" s="9"/>
      <c r="L5" s="9"/>
      <c r="M5" s="9"/>
      <c r="N5" s="9"/>
      <c r="O5" s="9"/>
      <c r="P5" s="9"/>
    </row>
    <row r="6" spans="1:18" s="11" customFormat="1" ht="44.1" customHeight="1" thickBot="1" x14ac:dyDescent="0.3">
      <c r="A6" s="237" t="s">
        <v>18</v>
      </c>
      <c r="B6" s="238"/>
      <c r="C6" s="238"/>
      <c r="D6" s="238"/>
      <c r="E6" s="238"/>
      <c r="F6" s="238"/>
      <c r="G6" s="238"/>
      <c r="H6" s="238"/>
      <c r="I6" s="238"/>
      <c r="J6" s="238"/>
      <c r="K6" s="238"/>
      <c r="L6" s="238"/>
      <c r="M6" s="238"/>
      <c r="N6" s="238"/>
      <c r="O6" s="238"/>
      <c r="P6" s="239"/>
    </row>
    <row r="7" spans="1:18" s="11" customFormat="1" ht="99.95" customHeight="1" thickBot="1" x14ac:dyDescent="0.3">
      <c r="A7" s="234" t="s">
        <v>85</v>
      </c>
      <c r="B7" s="235"/>
      <c r="C7" s="235"/>
      <c r="D7" s="235"/>
      <c r="E7" s="235"/>
      <c r="F7" s="235"/>
      <c r="G7" s="235"/>
      <c r="H7" s="235"/>
      <c r="I7" s="235"/>
      <c r="J7" s="235"/>
      <c r="K7" s="235"/>
      <c r="L7" s="235"/>
      <c r="M7" s="235"/>
      <c r="N7" s="235"/>
      <c r="O7" s="235"/>
      <c r="P7" s="236"/>
    </row>
    <row r="8" spans="1:18"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8" s="29" customFormat="1" ht="23.25" customHeight="1" x14ac:dyDescent="0.25">
      <c r="A9" s="243" t="s">
        <v>86</v>
      </c>
      <c r="B9" s="244"/>
      <c r="C9" s="244"/>
      <c r="D9" s="244"/>
      <c r="E9" s="244"/>
      <c r="F9" s="244"/>
      <c r="G9" s="244"/>
      <c r="H9" s="244"/>
      <c r="I9" s="244"/>
      <c r="J9" s="244"/>
      <c r="K9" s="244"/>
      <c r="L9" s="244"/>
      <c r="M9" s="244"/>
      <c r="N9" s="244"/>
      <c r="O9" s="244"/>
      <c r="P9" s="245"/>
    </row>
    <row r="10" spans="1:18" s="29"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8" s="29" customFormat="1" ht="20.100000000000001" customHeight="1" x14ac:dyDescent="0.25">
      <c r="A11" s="247"/>
      <c r="B11" s="248"/>
      <c r="C11" s="248"/>
      <c r="D11" s="248"/>
      <c r="E11" s="248"/>
      <c r="F11" s="248"/>
      <c r="G11" s="248"/>
      <c r="H11" s="248"/>
      <c r="I11" s="248"/>
      <c r="J11" s="248"/>
      <c r="K11" s="248"/>
      <c r="L11" s="248"/>
      <c r="M11" s="248"/>
      <c r="N11" s="248"/>
      <c r="O11" s="248"/>
      <c r="P11" s="249"/>
    </row>
    <row r="12" spans="1:18" s="29" customFormat="1" ht="14.45" customHeight="1" x14ac:dyDescent="0.25">
      <c r="A12" s="230" t="s">
        <v>88</v>
      </c>
      <c r="B12" s="230"/>
      <c r="C12" s="230"/>
      <c r="D12" s="230"/>
      <c r="E12" s="230"/>
      <c r="F12" s="230"/>
      <c r="G12" s="230"/>
      <c r="H12" s="230"/>
      <c r="I12" s="230"/>
      <c r="J12" s="230"/>
      <c r="K12" s="230"/>
      <c r="L12" s="230"/>
      <c r="M12" s="230"/>
      <c r="N12" s="230"/>
      <c r="O12" s="230"/>
      <c r="P12" s="231"/>
    </row>
    <row r="13" spans="1:18" s="29" customFormat="1" ht="15" customHeight="1" thickBot="1" x14ac:dyDescent="0.3">
      <c r="A13" s="232"/>
      <c r="B13" s="232"/>
      <c r="C13" s="232"/>
      <c r="D13" s="232"/>
      <c r="E13" s="232"/>
      <c r="F13" s="232"/>
      <c r="G13" s="232"/>
      <c r="H13" s="232"/>
      <c r="I13" s="232"/>
      <c r="J13" s="232"/>
      <c r="K13" s="232"/>
      <c r="L13" s="232"/>
      <c r="M13" s="232"/>
      <c r="N13" s="232"/>
      <c r="O13" s="232"/>
      <c r="P13" s="233"/>
    </row>
    <row r="14" spans="1:18"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8" s="29"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8" ht="113.25" customHeight="1" thickBot="1" x14ac:dyDescent="0.3">
      <c r="A16" s="240" t="s">
        <v>102</v>
      </c>
      <c r="B16" s="30" t="s">
        <v>103</v>
      </c>
      <c r="C16" s="30" t="s">
        <v>104</v>
      </c>
      <c r="D16" s="31">
        <v>15000</v>
      </c>
      <c r="E16" s="32" t="s">
        <v>37</v>
      </c>
      <c r="F16" s="33" t="s">
        <v>120</v>
      </c>
      <c r="G16" s="153">
        <v>1521</v>
      </c>
      <c r="H16" s="153">
        <v>1505</v>
      </c>
      <c r="I16" s="153">
        <v>1457</v>
      </c>
      <c r="J16" s="154">
        <f>+SUM(G16:I16)</f>
        <v>4483</v>
      </c>
      <c r="K16" s="34">
        <f>+IFERROR(J16/D16,"-")</f>
        <v>0.29886666666666667</v>
      </c>
      <c r="L16" s="34">
        <f>+K16+75.1733333333334%</f>
        <v>1.0506000000000006</v>
      </c>
      <c r="M16" s="240" t="s">
        <v>111</v>
      </c>
      <c r="N16" s="30" t="s">
        <v>112</v>
      </c>
      <c r="O16" s="33" t="s">
        <v>113</v>
      </c>
      <c r="P16" s="30"/>
      <c r="R16" s="157"/>
    </row>
    <row r="17" spans="1:18" ht="117" customHeight="1" thickBot="1" x14ac:dyDescent="0.3">
      <c r="A17" s="240"/>
      <c r="B17" s="30" t="s">
        <v>105</v>
      </c>
      <c r="C17" s="30" t="s">
        <v>104</v>
      </c>
      <c r="D17" s="35">
        <v>2760</v>
      </c>
      <c r="E17" s="36" t="s">
        <v>37</v>
      </c>
      <c r="F17" s="33" t="s">
        <v>106</v>
      </c>
      <c r="G17" s="153">
        <v>532</v>
      </c>
      <c r="H17" s="153">
        <v>510</v>
      </c>
      <c r="I17" s="153">
        <v>335</v>
      </c>
      <c r="J17" s="154">
        <f t="shared" ref="J17:J20" si="0">+SUM(G17:I17)</f>
        <v>1377</v>
      </c>
      <c r="K17" s="34">
        <f t="shared" ref="K17:K20" si="1">+IFERROR(J17/D17,"-")</f>
        <v>0.49891304347826088</v>
      </c>
      <c r="L17" s="34">
        <f>+K17+165.289855072464%</f>
        <v>2.151811594202901</v>
      </c>
      <c r="M17" s="240"/>
      <c r="N17" s="240" t="s">
        <v>114</v>
      </c>
      <c r="O17" s="33" t="s">
        <v>115</v>
      </c>
      <c r="P17" s="30"/>
      <c r="R17" s="157"/>
    </row>
    <row r="18" spans="1:18" ht="122.25" customHeight="1" thickBot="1" x14ac:dyDescent="0.3">
      <c r="A18" s="240"/>
      <c r="B18" s="30" t="s">
        <v>107</v>
      </c>
      <c r="C18" s="30" t="s">
        <v>104</v>
      </c>
      <c r="D18" s="37">
        <v>31</v>
      </c>
      <c r="E18" s="36" t="s">
        <v>37</v>
      </c>
      <c r="F18" s="33" t="s">
        <v>121</v>
      </c>
      <c r="G18" s="153">
        <v>10</v>
      </c>
      <c r="H18" s="153">
        <v>4</v>
      </c>
      <c r="I18" s="153">
        <v>4</v>
      </c>
      <c r="J18" s="154">
        <f t="shared" si="0"/>
        <v>18</v>
      </c>
      <c r="K18" s="34">
        <f t="shared" si="1"/>
        <v>0.58064516129032262</v>
      </c>
      <c r="L18" s="34">
        <f>+K18+290.322580645161%</f>
        <v>3.4838709677419324</v>
      </c>
      <c r="M18" s="240"/>
      <c r="N18" s="240"/>
      <c r="O18" s="33" t="s">
        <v>116</v>
      </c>
      <c r="P18" s="30"/>
      <c r="R18" s="157"/>
    </row>
    <row r="19" spans="1:18" ht="120" customHeight="1" thickBot="1" x14ac:dyDescent="0.3">
      <c r="A19" s="240"/>
      <c r="B19" s="30" t="s">
        <v>108</v>
      </c>
      <c r="C19" s="30" t="s">
        <v>109</v>
      </c>
      <c r="D19" s="38">
        <v>17</v>
      </c>
      <c r="E19" s="36" t="s">
        <v>37</v>
      </c>
      <c r="F19" s="33" t="s">
        <v>122</v>
      </c>
      <c r="G19" s="153">
        <v>13</v>
      </c>
      <c r="H19" s="153">
        <v>10</v>
      </c>
      <c r="I19" s="153">
        <v>10</v>
      </c>
      <c r="J19" s="154">
        <f t="shared" si="0"/>
        <v>33</v>
      </c>
      <c r="K19" s="34">
        <f t="shared" si="1"/>
        <v>1.9411764705882353</v>
      </c>
      <c r="L19" s="34">
        <f>+K19+511.764705882353%</f>
        <v>7.0588235294117654</v>
      </c>
      <c r="M19" s="240"/>
      <c r="N19" s="30" t="s">
        <v>117</v>
      </c>
      <c r="O19" s="33" t="s">
        <v>118</v>
      </c>
      <c r="P19" s="30"/>
      <c r="R19" s="157"/>
    </row>
    <row r="20" spans="1:18" ht="132.75" customHeight="1" thickBot="1" x14ac:dyDescent="0.3">
      <c r="A20" s="240"/>
      <c r="B20" s="39" t="s">
        <v>110</v>
      </c>
      <c r="C20" s="39" t="s">
        <v>104</v>
      </c>
      <c r="D20" s="37">
        <v>508</v>
      </c>
      <c r="E20" s="36" t="s">
        <v>37</v>
      </c>
      <c r="F20" s="33" t="s">
        <v>123</v>
      </c>
      <c r="G20" s="153">
        <v>124</v>
      </c>
      <c r="H20" s="153">
        <v>87</v>
      </c>
      <c r="I20" s="153">
        <v>76</v>
      </c>
      <c r="J20" s="154">
        <f t="shared" si="0"/>
        <v>287</v>
      </c>
      <c r="K20" s="34">
        <f t="shared" si="1"/>
        <v>0.56496062992125984</v>
      </c>
      <c r="L20" s="34">
        <f>+K20+120.07874015748%</f>
        <v>1.7657480314960599</v>
      </c>
      <c r="M20" s="240"/>
      <c r="N20" s="43" t="s">
        <v>112</v>
      </c>
      <c r="O20" s="33" t="s">
        <v>119</v>
      </c>
      <c r="P20" s="44"/>
      <c r="R20" s="157"/>
    </row>
    <row r="21" spans="1:18" x14ac:dyDescent="0.25">
      <c r="A21" s="40"/>
      <c r="B21" s="40"/>
      <c r="C21" s="40"/>
      <c r="D21" s="40"/>
      <c r="E21" s="40"/>
      <c r="F21" s="41"/>
      <c r="G21" s="40"/>
      <c r="H21" s="40"/>
      <c r="I21" s="40"/>
      <c r="J21" s="40"/>
      <c r="K21" s="40"/>
      <c r="L21" s="40"/>
      <c r="M21" s="41"/>
      <c r="N21" s="41"/>
      <c r="O21" s="41"/>
    </row>
    <row r="22" spans="1:18" x14ac:dyDescent="0.25">
      <c r="A22" s="40"/>
      <c r="B22" s="40"/>
      <c r="C22" s="40"/>
      <c r="D22" s="40"/>
      <c r="E22" s="40"/>
      <c r="F22" s="41"/>
      <c r="G22" s="40"/>
      <c r="H22" s="40"/>
      <c r="I22" s="40"/>
      <c r="J22" s="40"/>
      <c r="K22" s="40"/>
      <c r="L22" s="40"/>
      <c r="M22" s="41"/>
      <c r="N22" s="41"/>
      <c r="O22" s="41"/>
    </row>
    <row r="23" spans="1:18" x14ac:dyDescent="0.25">
      <c r="A23" s="40"/>
      <c r="B23" s="40"/>
      <c r="C23" s="40"/>
      <c r="D23" s="40"/>
      <c r="E23" s="40"/>
      <c r="F23" s="41"/>
      <c r="G23" s="40"/>
      <c r="H23" s="40"/>
      <c r="I23" s="40"/>
      <c r="J23" s="40"/>
      <c r="K23" s="40"/>
      <c r="L23" s="40"/>
      <c r="M23" s="41"/>
      <c r="N23" s="41"/>
      <c r="O23" s="41"/>
    </row>
    <row r="24" spans="1:18" x14ac:dyDescent="0.25">
      <c r="A24" s="40"/>
      <c r="B24" s="40"/>
      <c r="C24" s="40"/>
      <c r="D24" s="40"/>
      <c r="E24" s="40"/>
      <c r="F24" s="41"/>
      <c r="G24" s="40"/>
      <c r="H24" s="40"/>
      <c r="I24" s="40"/>
      <c r="J24" s="40"/>
      <c r="K24" s="40"/>
      <c r="L24" s="40"/>
      <c r="M24" s="41"/>
      <c r="N24" s="41"/>
      <c r="O24" s="41"/>
    </row>
    <row r="25" spans="1:18" x14ac:dyDescent="0.25">
      <c r="A25" s="41"/>
      <c r="B25" s="41"/>
      <c r="C25" s="41"/>
      <c r="D25" s="41"/>
      <c r="E25" s="41"/>
      <c r="F25" s="41"/>
      <c r="G25" s="41"/>
      <c r="H25" s="41"/>
      <c r="I25" s="41"/>
      <c r="J25" s="41"/>
      <c r="K25" s="41"/>
      <c r="L25" s="41"/>
      <c r="M25" s="41"/>
      <c r="N25" s="41"/>
      <c r="O25" s="41"/>
    </row>
    <row r="26" spans="1:18" x14ac:dyDescent="0.25">
      <c r="A26" s="41"/>
      <c r="B26" s="41"/>
      <c r="C26" s="41"/>
      <c r="D26" s="41"/>
      <c r="E26" s="41"/>
      <c r="F26" s="41"/>
      <c r="G26" s="41"/>
      <c r="H26" s="41"/>
      <c r="I26" s="41"/>
      <c r="J26" s="41"/>
      <c r="K26" s="41"/>
      <c r="L26" s="41"/>
      <c r="M26" s="41"/>
      <c r="N26" s="41"/>
      <c r="O26" s="41"/>
    </row>
    <row r="27" spans="1:18" x14ac:dyDescent="0.25">
      <c r="A27" s="41"/>
      <c r="B27" s="41"/>
      <c r="C27" s="41"/>
      <c r="D27" s="41"/>
      <c r="E27" s="41"/>
      <c r="F27" s="41"/>
      <c r="G27" s="41"/>
      <c r="H27" s="41"/>
      <c r="I27" s="41"/>
      <c r="J27" s="41"/>
      <c r="K27" s="41"/>
      <c r="L27" s="41"/>
      <c r="M27" s="41"/>
      <c r="N27" s="41"/>
      <c r="O27" s="41"/>
    </row>
    <row r="28" spans="1:18" x14ac:dyDescent="0.25">
      <c r="A28" s="41"/>
      <c r="B28" s="41"/>
      <c r="C28" s="41"/>
      <c r="D28" s="41"/>
      <c r="E28" s="41"/>
      <c r="F28" s="41"/>
      <c r="G28" s="41"/>
      <c r="H28" s="41"/>
      <c r="I28" s="41"/>
      <c r="J28" s="41"/>
      <c r="K28" s="41"/>
      <c r="L28" s="41"/>
      <c r="M28" s="41"/>
      <c r="N28" s="41"/>
      <c r="O28" s="41"/>
    </row>
    <row r="29" spans="1:18" x14ac:dyDescent="0.25">
      <c r="A29" s="41"/>
      <c r="B29" s="41"/>
      <c r="C29" s="41"/>
      <c r="D29" s="41"/>
      <c r="E29" s="41"/>
      <c r="F29" s="41"/>
      <c r="G29" s="41"/>
      <c r="H29" s="41"/>
      <c r="I29" s="41"/>
      <c r="J29" s="41"/>
      <c r="K29" s="41"/>
      <c r="L29" s="41"/>
      <c r="M29" s="41"/>
      <c r="N29" s="41"/>
      <c r="O29" s="41"/>
    </row>
    <row r="30" spans="1:18" x14ac:dyDescent="0.25">
      <c r="A30" s="41"/>
      <c r="B30" s="41"/>
      <c r="C30" s="41"/>
      <c r="D30" s="41"/>
      <c r="E30" s="41"/>
      <c r="F30" s="41"/>
      <c r="G30" s="41"/>
      <c r="H30" s="41"/>
      <c r="I30" s="41"/>
      <c r="J30" s="41"/>
      <c r="K30" s="41"/>
      <c r="L30" s="41"/>
      <c r="M30" s="41"/>
      <c r="N30" s="41"/>
      <c r="O30" s="41"/>
    </row>
    <row r="31" spans="1:18" ht="15" customHeight="1" x14ac:dyDescent="0.25">
      <c r="A31" s="225"/>
      <c r="B31" s="225"/>
      <c r="C31" s="225"/>
      <c r="D31" s="225"/>
      <c r="E31" s="225"/>
      <c r="F31" s="225"/>
      <c r="G31" s="225"/>
      <c r="H31" s="225"/>
      <c r="I31" s="225"/>
      <c r="J31" s="225"/>
      <c r="K31" s="42"/>
      <c r="L31" s="42"/>
    </row>
    <row r="32" spans="1:18" x14ac:dyDescent="0.25">
      <c r="A32" s="225"/>
      <c r="B32" s="225"/>
      <c r="C32" s="225"/>
      <c r="D32" s="225"/>
      <c r="E32" s="225"/>
      <c r="F32" s="225"/>
      <c r="G32" s="225"/>
      <c r="H32" s="225"/>
      <c r="I32" s="225"/>
      <c r="J32" s="225"/>
      <c r="K32" s="42"/>
      <c r="L32" s="42"/>
    </row>
  </sheetData>
  <mergeCells count="18">
    <mergeCell ref="A12:P13"/>
    <mergeCell ref="A7:P7"/>
    <mergeCell ref="A6:P6"/>
    <mergeCell ref="A16:A20"/>
    <mergeCell ref="M16:M20"/>
    <mergeCell ref="N17:N18"/>
    <mergeCell ref="A8:P8"/>
    <mergeCell ref="A9:P9"/>
    <mergeCell ref="A10:P11"/>
    <mergeCell ref="A31:J32"/>
    <mergeCell ref="M14:M15"/>
    <mergeCell ref="N14:N15"/>
    <mergeCell ref="O14:O15"/>
    <mergeCell ref="P14:P15"/>
    <mergeCell ref="A14:A15"/>
    <mergeCell ref="B14:E14"/>
    <mergeCell ref="F14:F15"/>
    <mergeCell ref="G14:L14"/>
  </mergeCells>
  <printOptions horizontalCentered="1" verticalCentered="1"/>
  <pageMargins left="3.937007874015748E-2" right="3.937007874015748E-2" top="0.74803149606299213" bottom="0.74803149606299213" header="0.31496062992125984" footer="0.31496062992125984"/>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P47"/>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27.85546875" style="10" customWidth="1"/>
    <col min="7" max="8" width="15.7109375" style="10" customWidth="1"/>
    <col min="9" max="9" width="17.140625" style="10" customWidth="1"/>
    <col min="10" max="11" width="15.7109375" style="10" customWidth="1"/>
    <col min="12" max="12" width="16.28515625" style="10" customWidth="1"/>
    <col min="13" max="13" width="26.5703125" style="10" customWidth="1"/>
    <col min="14" max="14" width="25.140625" style="10" customWidth="1"/>
    <col min="15" max="15" width="23"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87</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88</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82" t="s">
        <v>124</v>
      </c>
      <c r="B16" s="278" t="s">
        <v>125</v>
      </c>
      <c r="C16" s="45" t="s">
        <v>126</v>
      </c>
      <c r="D16" s="20">
        <v>6</v>
      </c>
      <c r="E16" s="266" t="s">
        <v>37</v>
      </c>
      <c r="F16" s="267" t="s">
        <v>127</v>
      </c>
      <c r="G16" s="156">
        <v>0</v>
      </c>
      <c r="H16" s="156">
        <v>0</v>
      </c>
      <c r="I16" s="156">
        <v>0</v>
      </c>
      <c r="J16" s="156">
        <f>+SUM(G16:I16)</f>
        <v>0</v>
      </c>
      <c r="K16" s="13">
        <f>+IFERROR(J16/D16,"-")</f>
        <v>0</v>
      </c>
      <c r="L16" s="13">
        <f>+K16+50%</f>
        <v>0.5</v>
      </c>
      <c r="M16" s="250" t="s">
        <v>165</v>
      </c>
      <c r="N16" s="250" t="s">
        <v>166</v>
      </c>
      <c r="O16" s="252" t="s">
        <v>167</v>
      </c>
      <c r="P16" s="254" t="s">
        <v>168</v>
      </c>
    </row>
    <row r="17" spans="1:16" ht="99.95" customHeight="1" thickBot="1" x14ac:dyDescent="0.3">
      <c r="A17" s="275"/>
      <c r="B17" s="279"/>
      <c r="C17" s="45" t="s">
        <v>128</v>
      </c>
      <c r="D17" s="22">
        <v>150</v>
      </c>
      <c r="E17" s="266"/>
      <c r="F17" s="268"/>
      <c r="G17" s="156">
        <v>0</v>
      </c>
      <c r="H17" s="156">
        <v>0</v>
      </c>
      <c r="I17" s="156">
        <v>0</v>
      </c>
      <c r="J17" s="156">
        <f t="shared" ref="J17:J35" si="0">+SUM(G17:I17)</f>
        <v>0</v>
      </c>
      <c r="K17" s="13">
        <f t="shared" ref="K17:K34" si="1">+IFERROR(J17/D17,"-")</f>
        <v>0</v>
      </c>
      <c r="L17" s="13">
        <f>+K17+52%</f>
        <v>0.52</v>
      </c>
      <c r="M17" s="251"/>
      <c r="N17" s="251"/>
      <c r="O17" s="253"/>
      <c r="P17" s="255"/>
    </row>
    <row r="18" spans="1:16" ht="99.95" customHeight="1" thickBot="1" x14ac:dyDescent="0.3">
      <c r="A18" s="275"/>
      <c r="B18" s="278" t="s">
        <v>129</v>
      </c>
      <c r="C18" s="45" t="s">
        <v>126</v>
      </c>
      <c r="D18" s="24">
        <v>6</v>
      </c>
      <c r="E18" s="280" t="s">
        <v>37</v>
      </c>
      <c r="F18" s="267" t="s">
        <v>127</v>
      </c>
      <c r="G18" s="156">
        <v>2</v>
      </c>
      <c r="H18" s="156">
        <v>0</v>
      </c>
      <c r="I18" s="156">
        <v>0</v>
      </c>
      <c r="J18" s="156">
        <f t="shared" si="0"/>
        <v>2</v>
      </c>
      <c r="K18" s="13">
        <f t="shared" si="1"/>
        <v>0.33333333333333331</v>
      </c>
      <c r="L18" s="13">
        <f>+K18+66.6666666666666%</f>
        <v>0.99999999999999933</v>
      </c>
      <c r="M18" s="256" t="s">
        <v>169</v>
      </c>
      <c r="N18" s="250" t="s">
        <v>166</v>
      </c>
      <c r="O18" s="252" t="s">
        <v>167</v>
      </c>
      <c r="P18" s="254"/>
    </row>
    <row r="19" spans="1:16" ht="99.95" customHeight="1" thickBot="1" x14ac:dyDescent="0.3">
      <c r="A19" s="275"/>
      <c r="B19" s="279"/>
      <c r="C19" s="45" t="s">
        <v>128</v>
      </c>
      <c r="D19" s="25">
        <v>150</v>
      </c>
      <c r="E19" s="281"/>
      <c r="F19" s="268"/>
      <c r="G19" s="156">
        <v>40</v>
      </c>
      <c r="H19" s="156">
        <v>0</v>
      </c>
      <c r="I19" s="156">
        <v>0</v>
      </c>
      <c r="J19" s="156">
        <f t="shared" si="0"/>
        <v>40</v>
      </c>
      <c r="K19" s="13">
        <f t="shared" si="1"/>
        <v>0.26666666666666666</v>
      </c>
      <c r="L19" s="13">
        <f>+K19+90%</f>
        <v>1.1666666666666667</v>
      </c>
      <c r="M19" s="258"/>
      <c r="N19" s="251"/>
      <c r="O19" s="253"/>
      <c r="P19" s="255"/>
    </row>
    <row r="20" spans="1:16" ht="99.95" customHeight="1" thickBot="1" x14ac:dyDescent="0.3">
      <c r="A20" s="275"/>
      <c r="B20" s="264" t="s">
        <v>130</v>
      </c>
      <c r="C20" s="45" t="s">
        <v>126</v>
      </c>
      <c r="D20" s="24">
        <v>24</v>
      </c>
      <c r="E20" s="266" t="s">
        <v>37</v>
      </c>
      <c r="F20" s="267" t="s">
        <v>131</v>
      </c>
      <c r="G20" s="156">
        <v>2</v>
      </c>
      <c r="H20" s="156">
        <v>2</v>
      </c>
      <c r="I20" s="156">
        <v>2</v>
      </c>
      <c r="J20" s="156">
        <f t="shared" si="0"/>
        <v>6</v>
      </c>
      <c r="K20" s="13">
        <f t="shared" si="1"/>
        <v>0.25</v>
      </c>
      <c r="L20" s="13">
        <f>+K20+66.6666666666666%</f>
        <v>0.91666666666666596</v>
      </c>
      <c r="M20" s="250" t="s">
        <v>170</v>
      </c>
      <c r="N20" s="250" t="s">
        <v>166</v>
      </c>
      <c r="O20" s="252" t="s">
        <v>167</v>
      </c>
      <c r="P20" s="254"/>
    </row>
    <row r="21" spans="1:16" ht="99.95" customHeight="1" thickBot="1" x14ac:dyDescent="0.3">
      <c r="A21" s="276"/>
      <c r="B21" s="265"/>
      <c r="C21" s="45" t="s">
        <v>132</v>
      </c>
      <c r="D21" s="20">
        <v>671</v>
      </c>
      <c r="E21" s="266"/>
      <c r="F21" s="268"/>
      <c r="G21" s="156">
        <v>50</v>
      </c>
      <c r="H21" s="156">
        <v>73</v>
      </c>
      <c r="I21" s="156">
        <v>49</v>
      </c>
      <c r="J21" s="156">
        <f t="shared" si="0"/>
        <v>172</v>
      </c>
      <c r="K21" s="13">
        <f t="shared" si="1"/>
        <v>0.25633383010432192</v>
      </c>
      <c r="L21" s="13">
        <f>+K21+79.1356184798807%</f>
        <v>1.047690014903129</v>
      </c>
      <c r="M21" s="251"/>
      <c r="N21" s="251"/>
      <c r="O21" s="253"/>
      <c r="P21" s="255"/>
    </row>
    <row r="22" spans="1:16" ht="99.95" customHeight="1" thickBot="1" x14ac:dyDescent="0.3">
      <c r="A22" s="274" t="s">
        <v>124</v>
      </c>
      <c r="B22" s="264" t="s">
        <v>133</v>
      </c>
      <c r="C22" s="45" t="s">
        <v>126</v>
      </c>
      <c r="D22" s="20">
        <v>4</v>
      </c>
      <c r="E22" s="266" t="s">
        <v>37</v>
      </c>
      <c r="F22" s="267" t="s">
        <v>134</v>
      </c>
      <c r="G22" s="156">
        <v>0</v>
      </c>
      <c r="H22" s="156">
        <v>0</v>
      </c>
      <c r="I22" s="156">
        <v>0</v>
      </c>
      <c r="J22" s="156">
        <f t="shared" si="0"/>
        <v>0</v>
      </c>
      <c r="K22" s="13">
        <f t="shared" si="1"/>
        <v>0</v>
      </c>
      <c r="L22" s="13">
        <f>+K22+75%</f>
        <v>0.75</v>
      </c>
      <c r="M22" s="250" t="s">
        <v>171</v>
      </c>
      <c r="N22" s="250" t="s">
        <v>166</v>
      </c>
      <c r="O22" s="252" t="s">
        <v>167</v>
      </c>
      <c r="P22" s="254" t="s">
        <v>168</v>
      </c>
    </row>
    <row r="23" spans="1:16" ht="99.95" customHeight="1" thickBot="1" x14ac:dyDescent="0.3">
      <c r="A23" s="275"/>
      <c r="B23" s="265"/>
      <c r="C23" s="45" t="s">
        <v>135</v>
      </c>
      <c r="D23" s="20">
        <v>50</v>
      </c>
      <c r="E23" s="266"/>
      <c r="F23" s="268"/>
      <c r="G23" s="156">
        <v>0</v>
      </c>
      <c r="H23" s="156">
        <v>0</v>
      </c>
      <c r="I23" s="156">
        <v>0</v>
      </c>
      <c r="J23" s="156">
        <f t="shared" si="0"/>
        <v>0</v>
      </c>
      <c r="K23" s="13">
        <f t="shared" si="1"/>
        <v>0</v>
      </c>
      <c r="L23" s="13">
        <f>+K23+116%</f>
        <v>1.1599999999999999</v>
      </c>
      <c r="M23" s="251"/>
      <c r="N23" s="251"/>
      <c r="O23" s="253"/>
      <c r="P23" s="255"/>
    </row>
    <row r="24" spans="1:16" ht="99.95" customHeight="1" thickBot="1" x14ac:dyDescent="0.3">
      <c r="A24" s="275"/>
      <c r="B24" s="264" t="s">
        <v>136</v>
      </c>
      <c r="C24" s="45" t="s">
        <v>126</v>
      </c>
      <c r="D24" s="20">
        <v>2</v>
      </c>
      <c r="E24" s="266" t="s">
        <v>37</v>
      </c>
      <c r="F24" s="267" t="s">
        <v>134</v>
      </c>
      <c r="G24" s="156">
        <v>1</v>
      </c>
      <c r="H24" s="156">
        <v>0</v>
      </c>
      <c r="I24" s="156">
        <v>0</v>
      </c>
      <c r="J24" s="156">
        <f t="shared" si="0"/>
        <v>1</v>
      </c>
      <c r="K24" s="13">
        <f t="shared" si="1"/>
        <v>0.5</v>
      </c>
      <c r="L24" s="13">
        <f>+K24+50%</f>
        <v>1</v>
      </c>
      <c r="M24" s="250" t="s">
        <v>172</v>
      </c>
      <c r="N24" s="250" t="s">
        <v>166</v>
      </c>
      <c r="O24" s="252" t="s">
        <v>167</v>
      </c>
      <c r="P24" s="254" t="s">
        <v>168</v>
      </c>
    </row>
    <row r="25" spans="1:16" ht="99.95" customHeight="1" thickBot="1" x14ac:dyDescent="0.3">
      <c r="A25" s="276"/>
      <c r="B25" s="265"/>
      <c r="C25" s="45" t="s">
        <v>135</v>
      </c>
      <c r="D25" s="20">
        <v>40</v>
      </c>
      <c r="E25" s="266"/>
      <c r="F25" s="268"/>
      <c r="G25" s="156">
        <v>22</v>
      </c>
      <c r="H25" s="156">
        <v>0</v>
      </c>
      <c r="I25" s="156">
        <v>0</v>
      </c>
      <c r="J25" s="156">
        <f t="shared" si="0"/>
        <v>22</v>
      </c>
      <c r="K25" s="13">
        <f t="shared" si="1"/>
        <v>0.55000000000000004</v>
      </c>
      <c r="L25" s="13">
        <f>+K25+87.5%</f>
        <v>1.425</v>
      </c>
      <c r="M25" s="251"/>
      <c r="N25" s="251"/>
      <c r="O25" s="253"/>
      <c r="P25" s="255"/>
    </row>
    <row r="26" spans="1:16" ht="189.75" customHeight="1" thickBot="1" x14ac:dyDescent="0.3">
      <c r="A26" s="171" t="s">
        <v>137</v>
      </c>
      <c r="B26" s="46" t="s">
        <v>138</v>
      </c>
      <c r="C26" s="45" t="s">
        <v>139</v>
      </c>
      <c r="D26" s="20">
        <v>51</v>
      </c>
      <c r="E26" s="21" t="s">
        <v>37</v>
      </c>
      <c r="F26" s="47" t="s">
        <v>140</v>
      </c>
      <c r="G26" s="156">
        <v>5</v>
      </c>
      <c r="H26" s="156">
        <v>5</v>
      </c>
      <c r="I26" s="156">
        <v>5</v>
      </c>
      <c r="J26" s="156">
        <f t="shared" si="0"/>
        <v>15</v>
      </c>
      <c r="K26" s="13">
        <f t="shared" si="1"/>
        <v>0.29411764705882354</v>
      </c>
      <c r="L26" s="13">
        <f>+K26+76.4705882352942%</f>
        <v>1.0588235294117656</v>
      </c>
      <c r="M26" s="53" t="s">
        <v>173</v>
      </c>
      <c r="N26" s="53" t="s">
        <v>174</v>
      </c>
      <c r="O26" s="54" t="s">
        <v>175</v>
      </c>
      <c r="P26" s="55"/>
    </row>
    <row r="27" spans="1:16" ht="99.95" customHeight="1" thickBot="1" x14ac:dyDescent="0.3">
      <c r="A27" s="269" t="s">
        <v>141</v>
      </c>
      <c r="B27" s="264" t="s">
        <v>142</v>
      </c>
      <c r="C27" s="45" t="s">
        <v>143</v>
      </c>
      <c r="D27" s="20">
        <v>3</v>
      </c>
      <c r="E27" s="272" t="s">
        <v>37</v>
      </c>
      <c r="F27" s="259" t="s">
        <v>144</v>
      </c>
      <c r="G27" s="156">
        <v>0</v>
      </c>
      <c r="H27" s="156">
        <v>0</v>
      </c>
      <c r="I27" s="156">
        <v>0</v>
      </c>
      <c r="J27" s="156">
        <f t="shared" si="0"/>
        <v>0</v>
      </c>
      <c r="K27" s="13">
        <f t="shared" si="1"/>
        <v>0</v>
      </c>
      <c r="L27" s="13">
        <f>+K27+66.6666666666666%</f>
        <v>0.66666666666666596</v>
      </c>
      <c r="M27" s="256" t="s">
        <v>176</v>
      </c>
      <c r="N27" s="259" t="s">
        <v>177</v>
      </c>
      <c r="O27" s="252" t="s">
        <v>178</v>
      </c>
      <c r="P27" s="263"/>
    </row>
    <row r="28" spans="1:16" ht="99.95" customHeight="1" thickBot="1" x14ac:dyDescent="0.3">
      <c r="A28" s="269"/>
      <c r="B28" s="271"/>
      <c r="C28" s="45" t="s">
        <v>145</v>
      </c>
      <c r="D28" s="20">
        <v>6</v>
      </c>
      <c r="E28" s="272"/>
      <c r="F28" s="260"/>
      <c r="G28" s="156">
        <v>0</v>
      </c>
      <c r="H28" s="156">
        <v>0</v>
      </c>
      <c r="I28" s="156">
        <v>0</v>
      </c>
      <c r="J28" s="156">
        <f t="shared" si="0"/>
        <v>0</v>
      </c>
      <c r="K28" s="13">
        <f t="shared" si="1"/>
        <v>0</v>
      </c>
      <c r="L28" s="13">
        <f>+K28+133.333333333333%</f>
        <v>1.3333333333333299</v>
      </c>
      <c r="M28" s="257"/>
      <c r="N28" s="260"/>
      <c r="O28" s="262"/>
      <c r="P28" s="263"/>
    </row>
    <row r="29" spans="1:16" ht="99.95" customHeight="1" thickBot="1" x14ac:dyDescent="0.3">
      <c r="A29" s="269"/>
      <c r="B29" s="271"/>
      <c r="C29" s="45" t="s">
        <v>146</v>
      </c>
      <c r="D29" s="20">
        <v>90</v>
      </c>
      <c r="E29" s="272"/>
      <c r="F29" s="260"/>
      <c r="G29" s="156">
        <v>0</v>
      </c>
      <c r="H29" s="156">
        <v>0</v>
      </c>
      <c r="I29" s="156">
        <v>0</v>
      </c>
      <c r="J29" s="156">
        <f t="shared" si="0"/>
        <v>0</v>
      </c>
      <c r="K29" s="13">
        <f t="shared" si="1"/>
        <v>0</v>
      </c>
      <c r="L29" s="13">
        <f>+K29+77.7777777777778%</f>
        <v>0.77777777777777801</v>
      </c>
      <c r="M29" s="257"/>
      <c r="N29" s="260"/>
      <c r="O29" s="262"/>
      <c r="P29" s="263"/>
    </row>
    <row r="30" spans="1:16" ht="99.95" customHeight="1" thickBot="1" x14ac:dyDescent="0.3">
      <c r="A30" s="269"/>
      <c r="B30" s="271"/>
      <c r="C30" s="45" t="s">
        <v>147</v>
      </c>
      <c r="D30" s="20">
        <v>2</v>
      </c>
      <c r="E30" s="272"/>
      <c r="F30" s="260"/>
      <c r="G30" s="156">
        <v>0</v>
      </c>
      <c r="H30" s="156">
        <v>0</v>
      </c>
      <c r="I30" s="156">
        <v>0</v>
      </c>
      <c r="J30" s="156">
        <f t="shared" si="0"/>
        <v>0</v>
      </c>
      <c r="K30" s="13">
        <f t="shared" si="1"/>
        <v>0</v>
      </c>
      <c r="L30" s="13">
        <f>+K30+50%</f>
        <v>0.5</v>
      </c>
      <c r="M30" s="257"/>
      <c r="N30" s="260"/>
      <c r="O30" s="262"/>
      <c r="P30" s="263"/>
    </row>
    <row r="31" spans="1:16" ht="99.95" customHeight="1" thickBot="1" x14ac:dyDescent="0.3">
      <c r="A31" s="269"/>
      <c r="B31" s="271"/>
      <c r="C31" s="45" t="s">
        <v>148</v>
      </c>
      <c r="D31" s="20">
        <v>4</v>
      </c>
      <c r="E31" s="272"/>
      <c r="F31" s="260"/>
      <c r="G31" s="156">
        <v>0</v>
      </c>
      <c r="H31" s="156">
        <v>0</v>
      </c>
      <c r="I31" s="156">
        <v>0</v>
      </c>
      <c r="J31" s="156">
        <f t="shared" si="0"/>
        <v>0</v>
      </c>
      <c r="K31" s="13">
        <f t="shared" si="1"/>
        <v>0</v>
      </c>
      <c r="L31" s="13">
        <f>+K31+75%</f>
        <v>0.75</v>
      </c>
      <c r="M31" s="257"/>
      <c r="N31" s="260"/>
      <c r="O31" s="262"/>
      <c r="P31" s="263"/>
    </row>
    <row r="32" spans="1:16" ht="99.95" customHeight="1" thickBot="1" x14ac:dyDescent="0.3">
      <c r="A32" s="270"/>
      <c r="B32" s="265"/>
      <c r="C32" s="45" t="s">
        <v>149</v>
      </c>
      <c r="D32" s="20">
        <v>60</v>
      </c>
      <c r="E32" s="273"/>
      <c r="F32" s="261"/>
      <c r="G32" s="156">
        <v>0</v>
      </c>
      <c r="H32" s="156">
        <v>0</v>
      </c>
      <c r="I32" s="156">
        <v>0</v>
      </c>
      <c r="J32" s="156">
        <f t="shared" si="0"/>
        <v>0</v>
      </c>
      <c r="K32" s="13">
        <f t="shared" si="1"/>
        <v>0</v>
      </c>
      <c r="L32" s="13">
        <f>+K32+33.3333333333333%</f>
        <v>0.33333333333333298</v>
      </c>
      <c r="M32" s="258"/>
      <c r="N32" s="261"/>
      <c r="O32" s="253"/>
      <c r="P32" s="255"/>
    </row>
    <row r="33" spans="1:16" ht="178.5" customHeight="1" thickBot="1" x14ac:dyDescent="0.3">
      <c r="A33" s="48" t="s">
        <v>150</v>
      </c>
      <c r="B33" s="46" t="s">
        <v>151</v>
      </c>
      <c r="C33" s="45" t="s">
        <v>152</v>
      </c>
      <c r="D33" s="20">
        <v>160</v>
      </c>
      <c r="E33" s="21" t="s">
        <v>37</v>
      </c>
      <c r="F33" s="47" t="s">
        <v>153</v>
      </c>
      <c r="G33" s="156">
        <v>18</v>
      </c>
      <c r="H33" s="156">
        <v>13</v>
      </c>
      <c r="I33" s="156">
        <v>7</v>
      </c>
      <c r="J33" s="156">
        <f t="shared" si="0"/>
        <v>38</v>
      </c>
      <c r="K33" s="13">
        <f t="shared" si="1"/>
        <v>0.23749999999999999</v>
      </c>
      <c r="L33" s="13">
        <f>+K33+89.375%</f>
        <v>1.1312500000000001</v>
      </c>
      <c r="M33" s="56" t="s">
        <v>179</v>
      </c>
      <c r="N33" s="56" t="s">
        <v>180</v>
      </c>
      <c r="O33" s="54" t="s">
        <v>181</v>
      </c>
      <c r="P33" s="57"/>
    </row>
    <row r="34" spans="1:16" ht="178.5" customHeight="1" thickBot="1" x14ac:dyDescent="0.3">
      <c r="A34" s="274" t="s">
        <v>154</v>
      </c>
      <c r="B34" s="46" t="s">
        <v>155</v>
      </c>
      <c r="C34" s="49" t="s">
        <v>156</v>
      </c>
      <c r="D34" s="20">
        <v>3040</v>
      </c>
      <c r="E34" s="21" t="s">
        <v>37</v>
      </c>
      <c r="F34" s="47" t="s">
        <v>157</v>
      </c>
      <c r="G34" s="156">
        <v>703</v>
      </c>
      <c r="H34" s="156">
        <v>554</v>
      </c>
      <c r="I34" s="156">
        <v>504</v>
      </c>
      <c r="J34" s="156">
        <f t="shared" si="0"/>
        <v>1761</v>
      </c>
      <c r="K34" s="13">
        <f t="shared" si="1"/>
        <v>0.57927631578947369</v>
      </c>
      <c r="L34" s="13">
        <f>+K34+41.0855263157895%</f>
        <v>0.9901315789473687</v>
      </c>
      <c r="M34" s="56" t="s">
        <v>182</v>
      </c>
      <c r="N34" s="53" t="s">
        <v>183</v>
      </c>
      <c r="O34" s="54" t="s">
        <v>184</v>
      </c>
      <c r="P34" s="55" t="s">
        <v>185</v>
      </c>
    </row>
    <row r="35" spans="1:16" ht="130.5" customHeight="1" thickBot="1" x14ac:dyDescent="0.3">
      <c r="A35" s="275"/>
      <c r="B35" s="46" t="s">
        <v>158</v>
      </c>
      <c r="C35" s="45" t="s">
        <v>159</v>
      </c>
      <c r="D35" s="20">
        <v>23</v>
      </c>
      <c r="E35" s="21" t="s">
        <v>37</v>
      </c>
      <c r="F35" s="47" t="s">
        <v>160</v>
      </c>
      <c r="G35" s="156">
        <v>2</v>
      </c>
      <c r="H35" s="156">
        <v>5</v>
      </c>
      <c r="I35" s="156">
        <v>0</v>
      </c>
      <c r="J35" s="156">
        <f t="shared" si="0"/>
        <v>7</v>
      </c>
      <c r="K35" s="13">
        <f>+IFERROR(J35/D35,"-")</f>
        <v>0.30434782608695654</v>
      </c>
      <c r="L35" s="13">
        <f>+K35+39.1304347826087%</f>
        <v>0.69565217391304357</v>
      </c>
      <c r="M35" s="56" t="s">
        <v>182</v>
      </c>
      <c r="N35" s="56" t="s">
        <v>186</v>
      </c>
      <c r="O35" s="54" t="s">
        <v>184</v>
      </c>
      <c r="P35" s="55" t="s">
        <v>187</v>
      </c>
    </row>
    <row r="36" spans="1:16" ht="174" customHeight="1" thickBot="1" x14ac:dyDescent="0.3">
      <c r="A36" s="19" t="s">
        <v>161</v>
      </c>
      <c r="B36" s="50" t="s">
        <v>162</v>
      </c>
      <c r="C36" s="51" t="s">
        <v>163</v>
      </c>
      <c r="D36" s="20">
        <v>6</v>
      </c>
      <c r="E36" s="21" t="s">
        <v>37</v>
      </c>
      <c r="F36" s="52" t="s">
        <v>164</v>
      </c>
      <c r="G36" s="156">
        <v>0</v>
      </c>
      <c r="H36" s="156">
        <v>0</v>
      </c>
      <c r="I36" s="156">
        <v>0</v>
      </c>
      <c r="J36" s="156">
        <f t="shared" ref="J36" si="2">+SUM(G36:I36)</f>
        <v>0</v>
      </c>
      <c r="K36" s="13">
        <f>+IFERROR(J36/D36,"-")</f>
        <v>0</v>
      </c>
      <c r="L36" s="13">
        <f>+K36+133.333333333333%</f>
        <v>1.3333333333333299</v>
      </c>
      <c r="M36" s="56" t="s">
        <v>182</v>
      </c>
      <c r="N36" s="58" t="s">
        <v>188</v>
      </c>
      <c r="O36" s="59" t="s">
        <v>189</v>
      </c>
      <c r="P36" s="58"/>
    </row>
    <row r="37" spans="1:16" x14ac:dyDescent="0.25">
      <c r="A37" s="14"/>
      <c r="B37" s="14"/>
      <c r="C37" s="14"/>
      <c r="D37" s="14"/>
      <c r="E37" s="14"/>
      <c r="F37" s="15"/>
      <c r="G37" s="14"/>
      <c r="H37" s="14"/>
      <c r="I37" s="14"/>
      <c r="J37" s="14"/>
      <c r="K37" s="14"/>
      <c r="L37" s="14"/>
      <c r="M37" s="15"/>
      <c r="N37" s="15"/>
      <c r="O37" s="15"/>
    </row>
    <row r="38" spans="1:16" x14ac:dyDescent="0.25">
      <c r="A38" s="14"/>
      <c r="B38" s="14"/>
      <c r="C38" s="14"/>
      <c r="D38" s="14"/>
      <c r="E38" s="14"/>
      <c r="F38" s="15"/>
      <c r="G38" s="14"/>
      <c r="H38" s="14"/>
      <c r="I38" s="14"/>
      <c r="J38" s="14"/>
      <c r="K38" s="14"/>
      <c r="L38" s="14"/>
      <c r="M38" s="15"/>
      <c r="N38" s="15"/>
      <c r="O38" s="15"/>
    </row>
    <row r="39" spans="1:16" x14ac:dyDescent="0.25">
      <c r="A39" s="14"/>
      <c r="B39" s="14"/>
      <c r="C39" s="14"/>
      <c r="D39" s="14"/>
      <c r="E39" s="14"/>
      <c r="F39" s="15"/>
      <c r="G39" s="14"/>
      <c r="H39" s="14"/>
      <c r="I39" s="14"/>
      <c r="J39" s="14"/>
      <c r="K39" s="14"/>
      <c r="L39" s="14"/>
      <c r="M39" s="15"/>
      <c r="N39" s="15"/>
      <c r="O39" s="15"/>
    </row>
    <row r="40" spans="1:16" x14ac:dyDescent="0.25">
      <c r="A40" s="15"/>
      <c r="B40" s="15"/>
      <c r="C40" s="15"/>
      <c r="D40" s="15"/>
      <c r="E40" s="15"/>
      <c r="F40" s="15"/>
      <c r="G40" s="15"/>
      <c r="H40" s="15"/>
      <c r="I40" s="15"/>
      <c r="J40" s="15"/>
      <c r="K40" s="15"/>
      <c r="L40" s="15"/>
      <c r="M40" s="15"/>
      <c r="N40" s="15"/>
      <c r="O40" s="15"/>
    </row>
    <row r="41" spans="1:16" x14ac:dyDescent="0.25">
      <c r="A41" s="15"/>
      <c r="B41" s="15"/>
      <c r="C41" s="15"/>
      <c r="D41" s="15"/>
      <c r="E41" s="15"/>
      <c r="F41" s="15"/>
      <c r="G41" s="15"/>
      <c r="H41" s="15"/>
      <c r="I41" s="15"/>
      <c r="J41" s="15"/>
      <c r="K41" s="15"/>
      <c r="L41" s="15"/>
      <c r="M41" s="15"/>
      <c r="N41" s="15"/>
      <c r="O41" s="15"/>
    </row>
    <row r="42" spans="1:16" x14ac:dyDescent="0.25">
      <c r="A42" s="15"/>
      <c r="B42" s="15"/>
      <c r="C42" s="15"/>
      <c r="D42" s="15"/>
      <c r="E42" s="15"/>
      <c r="F42" s="15"/>
      <c r="G42" s="15"/>
      <c r="H42" s="15"/>
      <c r="I42" s="15"/>
      <c r="J42" s="15"/>
      <c r="K42" s="15"/>
      <c r="L42" s="15"/>
      <c r="M42" s="15"/>
      <c r="N42" s="15"/>
      <c r="O42" s="15"/>
    </row>
    <row r="43" spans="1:16" x14ac:dyDescent="0.25">
      <c r="A43" s="15"/>
      <c r="B43" s="15"/>
      <c r="C43" s="15"/>
      <c r="D43" s="15"/>
      <c r="E43" s="15"/>
      <c r="F43" s="15"/>
      <c r="G43" s="15"/>
      <c r="H43" s="15"/>
      <c r="I43" s="15"/>
      <c r="J43" s="15"/>
      <c r="K43" s="15"/>
      <c r="L43" s="15"/>
      <c r="M43" s="15"/>
      <c r="N43" s="15"/>
      <c r="O43" s="15"/>
    </row>
    <row r="44" spans="1:16" x14ac:dyDescent="0.25">
      <c r="A44" s="15"/>
      <c r="B44" s="15"/>
      <c r="C44" s="15"/>
      <c r="D44" s="15"/>
      <c r="E44" s="15"/>
      <c r="F44" s="15"/>
      <c r="G44" s="15"/>
      <c r="H44" s="15"/>
      <c r="I44" s="15"/>
      <c r="J44" s="15"/>
      <c r="K44" s="15"/>
      <c r="L44" s="15"/>
      <c r="M44" s="15"/>
      <c r="N44" s="15"/>
      <c r="O44" s="15"/>
    </row>
    <row r="45" spans="1:16" x14ac:dyDescent="0.25">
      <c r="A45" s="15"/>
      <c r="B45" s="15"/>
      <c r="C45" s="15"/>
      <c r="D45" s="15"/>
      <c r="E45" s="15"/>
      <c r="F45" s="15"/>
      <c r="G45" s="15"/>
      <c r="H45" s="15"/>
      <c r="I45" s="15"/>
      <c r="J45" s="15"/>
      <c r="K45" s="15"/>
      <c r="L45" s="15"/>
      <c r="M45" s="15"/>
      <c r="N45" s="15"/>
      <c r="O45" s="15"/>
    </row>
    <row r="46" spans="1:16" ht="15" customHeight="1" x14ac:dyDescent="0.25">
      <c r="A46" s="277"/>
      <c r="B46" s="277"/>
      <c r="C46" s="277"/>
      <c r="D46" s="277"/>
      <c r="E46" s="277"/>
      <c r="F46" s="277"/>
      <c r="G46" s="277"/>
      <c r="H46" s="277"/>
      <c r="I46" s="277"/>
      <c r="J46" s="277"/>
      <c r="K46" s="16"/>
      <c r="L46" s="16"/>
    </row>
    <row r="47" spans="1:16" x14ac:dyDescent="0.25">
      <c r="A47" s="277"/>
      <c r="B47" s="277"/>
      <c r="C47" s="277"/>
      <c r="D47" s="277"/>
      <c r="E47" s="277"/>
      <c r="F47" s="277"/>
      <c r="G47" s="277"/>
      <c r="H47" s="277"/>
      <c r="I47" s="277"/>
      <c r="J47" s="277"/>
      <c r="K47" s="16"/>
      <c r="L47" s="16"/>
    </row>
  </sheetData>
  <mergeCells count="61">
    <mergeCell ref="O14:O15"/>
    <mergeCell ref="P14:P15"/>
    <mergeCell ref="A14:A15"/>
    <mergeCell ref="B14:E14"/>
    <mergeCell ref="F14:F15"/>
    <mergeCell ref="G14:L14"/>
    <mergeCell ref="M14:M15"/>
    <mergeCell ref="N14:N15"/>
    <mergeCell ref="A12:P13"/>
    <mergeCell ref="A6:P6"/>
    <mergeCell ref="A7:P7"/>
    <mergeCell ref="A8:P8"/>
    <mergeCell ref="A9:P9"/>
    <mergeCell ref="A10:P11"/>
    <mergeCell ref="A46:J47"/>
    <mergeCell ref="B16:B17"/>
    <mergeCell ref="E16:E17"/>
    <mergeCell ref="F16:F17"/>
    <mergeCell ref="B18:B19"/>
    <mergeCell ref="E18:E19"/>
    <mergeCell ref="F18:F19"/>
    <mergeCell ref="F27:F32"/>
    <mergeCell ref="B20:B21"/>
    <mergeCell ref="E20:E21"/>
    <mergeCell ref="F20:F21"/>
    <mergeCell ref="B22:B23"/>
    <mergeCell ref="E22:E23"/>
    <mergeCell ref="F22:F23"/>
    <mergeCell ref="A34:A35"/>
    <mergeCell ref="A16:A21"/>
    <mergeCell ref="M16:M17"/>
    <mergeCell ref="N16:N17"/>
    <mergeCell ref="O16:O17"/>
    <mergeCell ref="P16:P17"/>
    <mergeCell ref="M18:M19"/>
    <mergeCell ref="N18:N19"/>
    <mergeCell ref="O18:O19"/>
    <mergeCell ref="P18:P19"/>
    <mergeCell ref="B24:B25"/>
    <mergeCell ref="E24:E25"/>
    <mergeCell ref="F24:F25"/>
    <mergeCell ref="A27:A32"/>
    <mergeCell ref="B27:B32"/>
    <mergeCell ref="E27:E32"/>
    <mergeCell ref="A22:A25"/>
    <mergeCell ref="N20:N21"/>
    <mergeCell ref="O20:O21"/>
    <mergeCell ref="P20:P21"/>
    <mergeCell ref="M22:M23"/>
    <mergeCell ref="N22:N23"/>
    <mergeCell ref="O22:O23"/>
    <mergeCell ref="P22:P23"/>
    <mergeCell ref="M20:M21"/>
    <mergeCell ref="N24:N25"/>
    <mergeCell ref="O24:O25"/>
    <mergeCell ref="P24:P25"/>
    <mergeCell ref="M27:M32"/>
    <mergeCell ref="N27:N32"/>
    <mergeCell ref="O27:O32"/>
    <mergeCell ref="P27:P32"/>
    <mergeCell ref="M24:M25"/>
  </mergeCells>
  <printOptions horizontalCentered="1" verticalCentered="1"/>
  <pageMargins left="3.937007874015748E-2" right="3.937007874015748E-2" top="0.74803149606299213" bottom="0.74803149606299213" header="0.31496062992125984" footer="0.31496062992125984"/>
  <pageSetup scale="35" fitToHeight="0" orientation="landscape" r:id="rId1"/>
  <rowBreaks count="3" manualBreakCount="3">
    <brk id="21" max="15" man="1"/>
    <brk id="26" max="15" man="1"/>
    <brk id="33"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P31"/>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39.285156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22.42578125" style="10" customWidth="1"/>
    <col min="15" max="15" width="30.8554687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89</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88</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141" customHeight="1" thickBot="1" x14ac:dyDescent="0.3">
      <c r="A16" s="283" t="s">
        <v>190</v>
      </c>
      <c r="B16" s="26" t="s">
        <v>191</v>
      </c>
      <c r="C16" s="26" t="s">
        <v>192</v>
      </c>
      <c r="D16" s="20">
        <v>871</v>
      </c>
      <c r="E16" s="21" t="s">
        <v>60</v>
      </c>
      <c r="F16" s="60" t="s">
        <v>193</v>
      </c>
      <c r="G16" s="155">
        <v>224</v>
      </c>
      <c r="H16" s="155">
        <v>242</v>
      </c>
      <c r="I16" s="156">
        <v>228</v>
      </c>
      <c r="J16" s="156">
        <f>+SUM(G16:I16)</f>
        <v>694</v>
      </c>
      <c r="K16" s="13">
        <f>+IFERROR(J16/D16,"-")</f>
        <v>0.79678530424799077</v>
      </c>
      <c r="L16" s="13">
        <f>+K16+89.7818599311136%</f>
        <v>1.6946039035591269</v>
      </c>
      <c r="M16" s="26" t="s">
        <v>204</v>
      </c>
      <c r="N16" s="283" t="s">
        <v>205</v>
      </c>
      <c r="O16" s="60" t="s">
        <v>206</v>
      </c>
      <c r="P16" s="19"/>
    </row>
    <row r="17" spans="1:16" ht="204.75" customHeight="1" thickBot="1" x14ac:dyDescent="0.3">
      <c r="A17" s="283"/>
      <c r="B17" s="26" t="s">
        <v>194</v>
      </c>
      <c r="C17" s="26" t="s">
        <v>195</v>
      </c>
      <c r="D17" s="22">
        <v>2760</v>
      </c>
      <c r="E17" s="23" t="s">
        <v>37</v>
      </c>
      <c r="F17" s="60" t="s">
        <v>196</v>
      </c>
      <c r="G17" s="155">
        <v>532</v>
      </c>
      <c r="H17" s="155">
        <v>510</v>
      </c>
      <c r="I17" s="156">
        <v>335</v>
      </c>
      <c r="J17" s="156">
        <f t="shared" ref="J17:J18" si="0">+SUM(G17:I17)</f>
        <v>1377</v>
      </c>
      <c r="K17" s="13">
        <f t="shared" ref="K17:K19" si="1">+IFERROR(J17/D17,"-")</f>
        <v>0.49891304347826088</v>
      </c>
      <c r="L17" s="13">
        <f>+K17+165.289855072464%</f>
        <v>2.151811594202901</v>
      </c>
      <c r="M17" s="26" t="s">
        <v>204</v>
      </c>
      <c r="N17" s="283"/>
      <c r="O17" s="60" t="s">
        <v>207</v>
      </c>
      <c r="P17" s="19"/>
    </row>
    <row r="18" spans="1:16" ht="232.5" customHeight="1" thickBot="1" x14ac:dyDescent="0.3">
      <c r="A18" s="283"/>
      <c r="B18" s="26" t="s">
        <v>197</v>
      </c>
      <c r="C18" s="26" t="s">
        <v>198</v>
      </c>
      <c r="D18" s="24">
        <v>4</v>
      </c>
      <c r="E18" s="23" t="s">
        <v>199</v>
      </c>
      <c r="F18" s="60" t="s">
        <v>200</v>
      </c>
      <c r="G18" s="155">
        <v>0</v>
      </c>
      <c r="H18" s="155">
        <v>0</v>
      </c>
      <c r="I18" s="156">
        <v>1</v>
      </c>
      <c r="J18" s="156">
        <f t="shared" si="0"/>
        <v>1</v>
      </c>
      <c r="K18" s="13">
        <f t="shared" si="1"/>
        <v>0.25</v>
      </c>
      <c r="L18" s="13">
        <f>+K18+25%</f>
        <v>0.5</v>
      </c>
      <c r="M18" s="26" t="s">
        <v>204</v>
      </c>
      <c r="N18" s="283"/>
      <c r="O18" s="60" t="s">
        <v>899</v>
      </c>
      <c r="P18" s="19"/>
    </row>
    <row r="19" spans="1:16" ht="156" customHeight="1" thickBot="1" x14ac:dyDescent="0.3">
      <c r="A19" s="283"/>
      <c r="B19" s="26" t="s">
        <v>201</v>
      </c>
      <c r="C19" s="26" t="s">
        <v>202</v>
      </c>
      <c r="D19" s="25">
        <v>2</v>
      </c>
      <c r="E19" s="23" t="s">
        <v>199</v>
      </c>
      <c r="F19" s="60" t="s">
        <v>203</v>
      </c>
      <c r="G19" s="155">
        <v>0</v>
      </c>
      <c r="H19" s="155">
        <v>0</v>
      </c>
      <c r="I19" s="156">
        <v>0</v>
      </c>
      <c r="J19" s="156">
        <f>+IF(AND(G19&lt;&gt;"",H19="",I19=""),G19,IF(AND(G19&lt;&gt;"",H19&lt;&gt;"",I19=""),H19,IF(AND(G19&lt;&gt;"",H19&lt;&gt;"",I19&lt;&gt;""),I19,"N/D")))</f>
        <v>0</v>
      </c>
      <c r="K19" s="13">
        <f t="shared" si="1"/>
        <v>0</v>
      </c>
      <c r="L19" s="13">
        <f>IFERROR(+K19+0%,0)</f>
        <v>0</v>
      </c>
      <c r="M19" s="26" t="s">
        <v>204</v>
      </c>
      <c r="N19" s="283"/>
      <c r="O19" s="60" t="s">
        <v>208</v>
      </c>
      <c r="P19" s="19"/>
    </row>
    <row r="20" spans="1:16" x14ac:dyDescent="0.25">
      <c r="A20" s="14"/>
      <c r="B20" s="14"/>
      <c r="C20" s="14"/>
      <c r="D20" s="14"/>
      <c r="E20" s="14"/>
      <c r="F20" s="15"/>
      <c r="G20" s="14"/>
      <c r="H20" s="14"/>
      <c r="I20" s="14"/>
      <c r="J20" s="14"/>
      <c r="K20" s="14"/>
      <c r="L20" s="14"/>
      <c r="M20" s="15"/>
      <c r="N20" s="15"/>
      <c r="O20" s="15"/>
    </row>
    <row r="21" spans="1:16" x14ac:dyDescent="0.25">
      <c r="A21" s="14"/>
      <c r="B21" s="14"/>
      <c r="C21" s="14"/>
      <c r="D21" s="14"/>
      <c r="E21" s="14"/>
      <c r="F21" s="15"/>
      <c r="G21" s="14"/>
      <c r="H21" s="14"/>
      <c r="I21" s="14"/>
      <c r="J21" s="14"/>
      <c r="K21" s="14"/>
      <c r="L21" s="14"/>
      <c r="M21" s="15"/>
      <c r="N21" s="15"/>
      <c r="O21" s="15"/>
    </row>
    <row r="22" spans="1:16" x14ac:dyDescent="0.25">
      <c r="A22" s="14"/>
      <c r="B22" s="14"/>
      <c r="C22" s="14"/>
      <c r="D22" s="14"/>
      <c r="E22" s="14"/>
      <c r="F22" s="15"/>
      <c r="G22" s="14"/>
      <c r="H22" s="14"/>
      <c r="I22" s="14"/>
      <c r="J22" s="14"/>
      <c r="K22" s="14"/>
      <c r="L22" s="14"/>
      <c r="M22" s="15"/>
      <c r="N22" s="15"/>
      <c r="O22" s="15"/>
    </row>
    <row r="23" spans="1:16" x14ac:dyDescent="0.25">
      <c r="A23" s="14"/>
      <c r="B23" s="14"/>
      <c r="C23" s="14"/>
      <c r="D23" s="14"/>
      <c r="E23" s="14"/>
      <c r="F23" s="15"/>
      <c r="G23" s="14"/>
      <c r="H23" s="14"/>
      <c r="I23" s="14"/>
      <c r="J23" s="14"/>
      <c r="K23" s="14"/>
      <c r="L23" s="14"/>
      <c r="M23" s="15"/>
      <c r="N23" s="15"/>
      <c r="O23" s="15"/>
    </row>
    <row r="24" spans="1:16" x14ac:dyDescent="0.25">
      <c r="A24" s="15"/>
      <c r="B24" s="15"/>
      <c r="C24" s="15"/>
      <c r="D24" s="15"/>
      <c r="E24" s="15"/>
      <c r="F24" s="15"/>
      <c r="G24" s="15"/>
      <c r="H24" s="15"/>
      <c r="I24" s="15"/>
      <c r="J24" s="15"/>
      <c r="K24" s="15"/>
      <c r="L24" s="15"/>
      <c r="M24" s="15"/>
      <c r="N24" s="15"/>
      <c r="O24" s="15"/>
    </row>
    <row r="25" spans="1:16" x14ac:dyDescent="0.25">
      <c r="A25" s="15"/>
      <c r="B25" s="15"/>
      <c r="C25" s="15"/>
      <c r="D25" s="15"/>
      <c r="E25" s="15"/>
      <c r="F25" s="15"/>
      <c r="G25" s="15"/>
      <c r="H25" s="15"/>
      <c r="I25" s="15"/>
      <c r="J25" s="15"/>
      <c r="K25" s="15"/>
      <c r="L25" s="15"/>
      <c r="M25" s="15"/>
      <c r="N25" s="15"/>
      <c r="O25" s="15"/>
    </row>
    <row r="26" spans="1:16" x14ac:dyDescent="0.25">
      <c r="A26" s="15"/>
      <c r="B26" s="15"/>
      <c r="C26" s="15"/>
      <c r="D26" s="15"/>
      <c r="E26" s="15"/>
      <c r="F26" s="15"/>
      <c r="G26" s="15"/>
      <c r="H26" s="15"/>
      <c r="I26" s="15"/>
      <c r="J26" s="15"/>
      <c r="K26" s="15"/>
      <c r="L26" s="15"/>
      <c r="M26" s="15"/>
      <c r="N26" s="15"/>
      <c r="O26" s="15"/>
    </row>
    <row r="27" spans="1:16" x14ac:dyDescent="0.25">
      <c r="A27" s="15"/>
      <c r="B27" s="15"/>
      <c r="C27" s="15"/>
      <c r="D27" s="15"/>
      <c r="E27" s="15"/>
      <c r="F27" s="15"/>
      <c r="G27" s="15"/>
      <c r="H27" s="15"/>
      <c r="I27" s="15"/>
      <c r="J27" s="15"/>
      <c r="K27" s="15"/>
      <c r="L27" s="15"/>
      <c r="M27" s="15"/>
      <c r="N27" s="15"/>
      <c r="O27" s="15"/>
    </row>
    <row r="28" spans="1:16" x14ac:dyDescent="0.25">
      <c r="A28" s="15"/>
      <c r="B28" s="15"/>
      <c r="C28" s="15"/>
      <c r="D28" s="15"/>
      <c r="E28" s="15"/>
      <c r="F28" s="15"/>
      <c r="G28" s="15"/>
      <c r="H28" s="15"/>
      <c r="I28" s="15"/>
      <c r="J28" s="15"/>
      <c r="K28" s="15"/>
      <c r="L28" s="15"/>
      <c r="M28" s="15"/>
      <c r="N28" s="15"/>
      <c r="O28" s="15"/>
    </row>
    <row r="29" spans="1:16" x14ac:dyDescent="0.25">
      <c r="A29" s="15"/>
      <c r="B29" s="15"/>
      <c r="C29" s="15"/>
      <c r="D29" s="15"/>
      <c r="E29" s="15"/>
      <c r="F29" s="15"/>
      <c r="G29" s="15"/>
      <c r="H29" s="15"/>
      <c r="I29" s="15"/>
      <c r="J29" s="15"/>
      <c r="K29" s="15"/>
      <c r="L29" s="15"/>
      <c r="M29" s="15"/>
      <c r="N29" s="15"/>
      <c r="O29" s="15"/>
    </row>
    <row r="30" spans="1:16" ht="15" customHeight="1" x14ac:dyDescent="0.25">
      <c r="A30" s="277"/>
      <c r="B30" s="277"/>
      <c r="C30" s="277"/>
      <c r="D30" s="277"/>
      <c r="E30" s="277"/>
      <c r="F30" s="277"/>
      <c r="G30" s="277"/>
      <c r="H30" s="277"/>
      <c r="I30" s="277"/>
      <c r="J30" s="277"/>
      <c r="K30" s="16"/>
      <c r="L30" s="16"/>
    </row>
    <row r="31" spans="1:16" x14ac:dyDescent="0.25">
      <c r="A31" s="277"/>
      <c r="B31" s="277"/>
      <c r="C31" s="277"/>
      <c r="D31" s="277"/>
      <c r="E31" s="277"/>
      <c r="F31" s="277"/>
      <c r="G31" s="277"/>
      <c r="H31" s="277"/>
      <c r="I31" s="277"/>
      <c r="J31" s="277"/>
      <c r="K31" s="16"/>
      <c r="L31" s="16"/>
    </row>
  </sheetData>
  <mergeCells count="17">
    <mergeCell ref="A12:P13"/>
    <mergeCell ref="A6:P6"/>
    <mergeCell ref="A7:P7"/>
    <mergeCell ref="A8:P8"/>
    <mergeCell ref="A9:P9"/>
    <mergeCell ref="A10:P11"/>
    <mergeCell ref="O14:O15"/>
    <mergeCell ref="P14:P15"/>
    <mergeCell ref="A30:J31"/>
    <mergeCell ref="A16:A19"/>
    <mergeCell ref="N16:N19"/>
    <mergeCell ref="A14:A15"/>
    <mergeCell ref="B14:E14"/>
    <mergeCell ref="F14:F15"/>
    <mergeCell ref="G14:L14"/>
    <mergeCell ref="M14:M15"/>
    <mergeCell ref="N14:N15"/>
  </mergeCells>
  <printOptions horizontalCentered="1" verticalCentered="1"/>
  <pageMargins left="3.937007874015748E-2" right="3.937007874015748E-2" top="0.74803149606299213" bottom="0.74803149606299213" header="0.31496062992125984" footer="0.31496062992125984"/>
  <pageSetup scale="3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P34"/>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44.28515625" style="10" customWidth="1"/>
    <col min="7" max="9" width="23.42578125" style="10" customWidth="1"/>
    <col min="10" max="10" width="22.5703125" style="10" bestFit="1" customWidth="1"/>
    <col min="11" max="11" width="15.7109375" style="10" customWidth="1"/>
    <col min="12" max="12" width="16.28515625" style="10" customWidth="1"/>
    <col min="13" max="13" width="22.28515625" style="10" customWidth="1"/>
    <col min="14" max="14" width="32" style="10" customWidth="1"/>
    <col min="15" max="15" width="35.14062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90</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88</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219.75" customHeight="1" thickBot="1" x14ac:dyDescent="0.3">
      <c r="A16" s="26" t="s">
        <v>209</v>
      </c>
      <c r="B16" s="26" t="s">
        <v>210</v>
      </c>
      <c r="C16" s="26" t="s">
        <v>211</v>
      </c>
      <c r="D16" s="20">
        <v>14</v>
      </c>
      <c r="E16" s="21" t="s">
        <v>37</v>
      </c>
      <c r="F16" s="60" t="s">
        <v>212</v>
      </c>
      <c r="G16" s="155">
        <v>11</v>
      </c>
      <c r="H16" s="155">
        <v>1</v>
      </c>
      <c r="I16" s="156">
        <v>0</v>
      </c>
      <c r="J16" s="156">
        <f>+SUM(G16:I16)</f>
        <v>12</v>
      </c>
      <c r="K16" s="13">
        <f>+IFERROR(J16/D16,"-")</f>
        <v>0.8571428571428571</v>
      </c>
      <c r="L16" s="13">
        <f>+K16+128.571428571429%</f>
        <v>2.1428571428571472</v>
      </c>
      <c r="M16" s="26" t="s">
        <v>234</v>
      </c>
      <c r="N16" s="63" t="s">
        <v>235</v>
      </c>
      <c r="O16" s="60" t="s">
        <v>236</v>
      </c>
      <c r="P16" s="26"/>
    </row>
    <row r="17" spans="1:16" ht="138.75" customHeight="1" thickBot="1" x14ac:dyDescent="0.3">
      <c r="A17" s="26" t="s">
        <v>213</v>
      </c>
      <c r="B17" s="26" t="s">
        <v>214</v>
      </c>
      <c r="C17" s="26" t="s">
        <v>215</v>
      </c>
      <c r="D17" s="22">
        <v>48</v>
      </c>
      <c r="E17" s="23" t="s">
        <v>37</v>
      </c>
      <c r="F17" s="60" t="s">
        <v>216</v>
      </c>
      <c r="G17" s="155">
        <v>4</v>
      </c>
      <c r="H17" s="155">
        <v>4</v>
      </c>
      <c r="I17" s="156">
        <v>4</v>
      </c>
      <c r="J17" s="156">
        <f t="shared" ref="J17:J22" si="0">+SUM(G17:I17)</f>
        <v>12</v>
      </c>
      <c r="K17" s="13">
        <f t="shared" ref="K17:K22" si="1">+IFERROR(J17/D17,"-")</f>
        <v>0.25</v>
      </c>
      <c r="L17" s="13">
        <f>+K17+75%</f>
        <v>1</v>
      </c>
      <c r="M17" s="26" t="s">
        <v>234</v>
      </c>
      <c r="N17" s="26" t="s">
        <v>237</v>
      </c>
      <c r="O17" s="60" t="s">
        <v>238</v>
      </c>
      <c r="P17" s="26"/>
    </row>
    <row r="18" spans="1:16" ht="148.5" customHeight="1" thickBot="1" x14ac:dyDescent="0.3">
      <c r="A18" s="284" t="s">
        <v>217</v>
      </c>
      <c r="B18" s="284" t="s">
        <v>218</v>
      </c>
      <c r="C18" s="26" t="s">
        <v>219</v>
      </c>
      <c r="D18" s="24">
        <v>4</v>
      </c>
      <c r="E18" s="23" t="s">
        <v>37</v>
      </c>
      <c r="F18" s="60" t="s">
        <v>220</v>
      </c>
      <c r="G18" s="155">
        <v>0</v>
      </c>
      <c r="H18" s="155">
        <v>0</v>
      </c>
      <c r="I18" s="156">
        <v>1</v>
      </c>
      <c r="J18" s="156">
        <f t="shared" si="0"/>
        <v>1</v>
      </c>
      <c r="K18" s="13">
        <f t="shared" si="1"/>
        <v>0.25</v>
      </c>
      <c r="L18" s="13">
        <f>+K18+0%</f>
        <v>0.25</v>
      </c>
      <c r="M18" s="26" t="s">
        <v>234</v>
      </c>
      <c r="N18" s="26" t="s">
        <v>239</v>
      </c>
      <c r="O18" s="60" t="s">
        <v>240</v>
      </c>
      <c r="P18" s="26"/>
    </row>
    <row r="19" spans="1:16" ht="156" customHeight="1" thickBot="1" x14ac:dyDescent="0.3">
      <c r="A19" s="285"/>
      <c r="B19" s="285"/>
      <c r="C19" s="26" t="s">
        <v>221</v>
      </c>
      <c r="D19" s="25">
        <v>500</v>
      </c>
      <c r="E19" s="23" t="s">
        <v>37</v>
      </c>
      <c r="F19" s="60" t="s">
        <v>220</v>
      </c>
      <c r="G19" s="155">
        <v>200</v>
      </c>
      <c r="H19" s="155">
        <v>223</v>
      </c>
      <c r="I19" s="156">
        <v>228</v>
      </c>
      <c r="J19" s="156">
        <f t="shared" si="0"/>
        <v>651</v>
      </c>
      <c r="K19" s="13">
        <f t="shared" si="1"/>
        <v>1.302</v>
      </c>
      <c r="L19" s="13">
        <f>+K19+144%</f>
        <v>2.742</v>
      </c>
      <c r="M19" s="26" t="s">
        <v>234</v>
      </c>
      <c r="N19" s="26" t="s">
        <v>239</v>
      </c>
      <c r="O19" s="60" t="s">
        <v>240</v>
      </c>
      <c r="P19" s="26"/>
    </row>
    <row r="20" spans="1:16" ht="127.5" customHeight="1" thickBot="1" x14ac:dyDescent="0.3">
      <c r="A20" s="26" t="s">
        <v>222</v>
      </c>
      <c r="B20" s="26" t="s">
        <v>223</v>
      </c>
      <c r="C20" s="26" t="s">
        <v>224</v>
      </c>
      <c r="D20" s="24">
        <v>8</v>
      </c>
      <c r="E20" s="23" t="s">
        <v>60</v>
      </c>
      <c r="F20" s="61" t="s">
        <v>225</v>
      </c>
      <c r="G20" s="155">
        <v>1</v>
      </c>
      <c r="H20" s="155">
        <v>1</v>
      </c>
      <c r="I20" s="156">
        <v>1</v>
      </c>
      <c r="J20" s="156">
        <f t="shared" si="0"/>
        <v>3</v>
      </c>
      <c r="K20" s="13">
        <f t="shared" si="1"/>
        <v>0.375</v>
      </c>
      <c r="L20" s="13">
        <f>+K20+50%</f>
        <v>0.875</v>
      </c>
      <c r="M20" s="26" t="s">
        <v>234</v>
      </c>
      <c r="N20" s="64" t="s">
        <v>241</v>
      </c>
      <c r="O20" s="60" t="s">
        <v>242</v>
      </c>
      <c r="P20" s="26"/>
    </row>
    <row r="21" spans="1:16" ht="143.25" customHeight="1" thickBot="1" x14ac:dyDescent="0.3">
      <c r="A21" s="26" t="s">
        <v>226</v>
      </c>
      <c r="B21" s="26" t="s">
        <v>227</v>
      </c>
      <c r="C21" s="26" t="s">
        <v>228</v>
      </c>
      <c r="D21" s="20">
        <v>20</v>
      </c>
      <c r="E21" s="23" t="s">
        <v>60</v>
      </c>
      <c r="F21" s="61" t="s">
        <v>229</v>
      </c>
      <c r="G21" s="155">
        <v>0</v>
      </c>
      <c r="H21" s="155">
        <v>0</v>
      </c>
      <c r="I21" s="156">
        <v>0</v>
      </c>
      <c r="J21" s="156">
        <f t="shared" si="0"/>
        <v>0</v>
      </c>
      <c r="K21" s="13">
        <f t="shared" si="1"/>
        <v>0</v>
      </c>
      <c r="L21" s="13">
        <f>+K21+180%</f>
        <v>1.8</v>
      </c>
      <c r="M21" s="26" t="s">
        <v>234</v>
      </c>
      <c r="N21" s="64" t="s">
        <v>243</v>
      </c>
      <c r="O21" s="60" t="s">
        <v>244</v>
      </c>
      <c r="P21" s="26"/>
    </row>
    <row r="22" spans="1:16" ht="99.95" customHeight="1" thickBot="1" x14ac:dyDescent="0.3">
      <c r="A22" s="26" t="s">
        <v>230</v>
      </c>
      <c r="B22" s="26" t="s">
        <v>231</v>
      </c>
      <c r="C22" s="26" t="s">
        <v>232</v>
      </c>
      <c r="D22" s="62">
        <v>8900000</v>
      </c>
      <c r="E22" s="21" t="s">
        <v>60</v>
      </c>
      <c r="F22" s="60" t="s">
        <v>233</v>
      </c>
      <c r="G22" s="151">
        <v>1083075</v>
      </c>
      <c r="H22" s="151">
        <v>0</v>
      </c>
      <c r="I22" s="152">
        <v>0</v>
      </c>
      <c r="J22" s="152">
        <f t="shared" si="0"/>
        <v>1083075</v>
      </c>
      <c r="K22" s="13">
        <f t="shared" si="1"/>
        <v>0.1216938202247191</v>
      </c>
      <c r="L22" s="13">
        <f>+K22+5.33707865168539%</f>
        <v>0.17506460674157301</v>
      </c>
      <c r="M22" s="26" t="s">
        <v>234</v>
      </c>
      <c r="N22" s="64" t="s">
        <v>245</v>
      </c>
      <c r="O22" s="60" t="s">
        <v>246</v>
      </c>
      <c r="P22" s="65"/>
    </row>
    <row r="23" spans="1:16" x14ac:dyDescent="0.25">
      <c r="A23" s="14"/>
      <c r="B23" s="14"/>
      <c r="C23" s="14"/>
      <c r="D23" s="14"/>
      <c r="E23" s="14"/>
      <c r="F23" s="15"/>
      <c r="G23" s="14"/>
      <c r="H23" s="14"/>
      <c r="I23" s="14"/>
      <c r="J23" s="14"/>
      <c r="K23" s="14"/>
      <c r="L23" s="14"/>
      <c r="M23" s="15"/>
      <c r="N23" s="15"/>
      <c r="O23" s="15"/>
    </row>
    <row r="24" spans="1:16" x14ac:dyDescent="0.25">
      <c r="A24" s="14"/>
      <c r="B24" s="14"/>
      <c r="C24" s="14"/>
      <c r="D24" s="14"/>
      <c r="E24" s="14"/>
      <c r="F24" s="15"/>
      <c r="G24" s="14"/>
      <c r="H24" s="14"/>
      <c r="I24" s="14"/>
      <c r="J24" s="14"/>
      <c r="K24" s="14"/>
      <c r="L24" s="14"/>
      <c r="M24" s="15"/>
      <c r="N24" s="15"/>
      <c r="O24" s="15"/>
    </row>
    <row r="25" spans="1:16" x14ac:dyDescent="0.25">
      <c r="A25" s="14"/>
      <c r="B25" s="14"/>
      <c r="C25" s="14"/>
      <c r="D25" s="14"/>
      <c r="E25" s="14"/>
      <c r="F25" s="15"/>
      <c r="G25" s="14"/>
      <c r="H25" s="14"/>
      <c r="I25" s="14"/>
      <c r="J25" s="14"/>
      <c r="K25" s="14"/>
      <c r="L25" s="14"/>
      <c r="M25" s="15"/>
      <c r="N25" s="15"/>
      <c r="O25" s="15"/>
    </row>
    <row r="26" spans="1:16" x14ac:dyDescent="0.25">
      <c r="A26" s="14"/>
      <c r="B26" s="14"/>
      <c r="C26" s="14"/>
      <c r="D26" s="14"/>
      <c r="E26" s="14"/>
      <c r="F26" s="15"/>
      <c r="G26" s="14"/>
      <c r="H26" s="14"/>
      <c r="I26" s="14"/>
      <c r="J26" s="14"/>
      <c r="K26" s="14"/>
      <c r="L26" s="14"/>
      <c r="M26" s="15"/>
      <c r="N26" s="15"/>
      <c r="O26" s="15"/>
    </row>
    <row r="27" spans="1:16" x14ac:dyDescent="0.25">
      <c r="A27" s="15"/>
      <c r="B27" s="15"/>
      <c r="C27" s="15"/>
      <c r="D27" s="15"/>
      <c r="E27" s="15"/>
      <c r="F27" s="15"/>
      <c r="G27" s="15"/>
      <c r="H27" s="15"/>
      <c r="I27" s="15"/>
      <c r="J27" s="15"/>
      <c r="K27" s="15"/>
      <c r="L27" s="15"/>
      <c r="M27" s="15"/>
      <c r="N27" s="15"/>
      <c r="O27" s="15"/>
    </row>
    <row r="28" spans="1:16" x14ac:dyDescent="0.25">
      <c r="A28" s="15"/>
      <c r="B28" s="15"/>
      <c r="C28" s="15"/>
      <c r="D28" s="15"/>
      <c r="E28" s="15"/>
      <c r="F28" s="15"/>
      <c r="G28" s="15"/>
      <c r="H28" s="15"/>
      <c r="I28" s="15"/>
      <c r="J28" s="15"/>
      <c r="K28" s="15"/>
      <c r="L28" s="15"/>
      <c r="M28" s="15"/>
      <c r="N28" s="15"/>
      <c r="O28" s="15"/>
    </row>
    <row r="29" spans="1:16" x14ac:dyDescent="0.25">
      <c r="A29" s="15"/>
      <c r="B29" s="15"/>
      <c r="C29" s="15"/>
      <c r="D29" s="15"/>
      <c r="E29" s="15"/>
      <c r="F29" s="15"/>
      <c r="G29" s="15"/>
      <c r="H29" s="15"/>
      <c r="I29" s="15"/>
      <c r="J29" s="15"/>
      <c r="K29" s="15"/>
      <c r="L29" s="15"/>
      <c r="M29" s="15"/>
      <c r="N29" s="15"/>
      <c r="O29" s="15"/>
    </row>
    <row r="30" spans="1:16" x14ac:dyDescent="0.25">
      <c r="A30" s="15"/>
      <c r="B30" s="15"/>
      <c r="C30" s="15"/>
      <c r="D30" s="15"/>
      <c r="E30" s="15"/>
      <c r="F30" s="15"/>
      <c r="G30" s="15"/>
      <c r="H30" s="15"/>
      <c r="I30" s="15"/>
      <c r="J30" s="15"/>
      <c r="K30" s="15"/>
      <c r="L30" s="15"/>
      <c r="M30" s="15"/>
      <c r="N30" s="15"/>
      <c r="O30" s="15"/>
    </row>
    <row r="31" spans="1:16" x14ac:dyDescent="0.25">
      <c r="A31" s="15"/>
      <c r="B31" s="15"/>
      <c r="C31" s="15"/>
      <c r="D31" s="15"/>
      <c r="E31" s="15"/>
      <c r="F31" s="15"/>
      <c r="G31" s="15"/>
      <c r="H31" s="15"/>
      <c r="I31" s="15"/>
      <c r="J31" s="15"/>
      <c r="K31" s="15"/>
      <c r="L31" s="15"/>
      <c r="M31" s="15"/>
      <c r="N31" s="15"/>
      <c r="O31" s="15"/>
    </row>
    <row r="32" spans="1:16" x14ac:dyDescent="0.25">
      <c r="A32" s="15"/>
      <c r="B32" s="15"/>
      <c r="C32" s="15"/>
      <c r="D32" s="15"/>
      <c r="E32" s="15"/>
      <c r="F32" s="15"/>
      <c r="G32" s="15"/>
      <c r="H32" s="15"/>
      <c r="I32" s="15"/>
      <c r="J32" s="15"/>
      <c r="K32" s="15"/>
      <c r="L32" s="15"/>
      <c r="M32" s="15"/>
      <c r="N32" s="15"/>
      <c r="O32" s="15"/>
    </row>
    <row r="33" spans="1:12" ht="15" customHeight="1" x14ac:dyDescent="0.25">
      <c r="A33" s="277"/>
      <c r="B33" s="277"/>
      <c r="C33" s="277"/>
      <c r="D33" s="277"/>
      <c r="E33" s="277"/>
      <c r="F33" s="277"/>
      <c r="G33" s="277"/>
      <c r="H33" s="277"/>
      <c r="I33" s="277"/>
      <c r="J33" s="277"/>
      <c r="K33" s="16"/>
      <c r="L33" s="16"/>
    </row>
    <row r="34" spans="1:12" x14ac:dyDescent="0.25">
      <c r="A34" s="277"/>
      <c r="B34" s="277"/>
      <c r="C34" s="277"/>
      <c r="D34" s="277"/>
      <c r="E34" s="277"/>
      <c r="F34" s="277"/>
      <c r="G34" s="277"/>
      <c r="H34" s="277"/>
      <c r="I34" s="277"/>
      <c r="J34" s="277"/>
      <c r="K34" s="16"/>
      <c r="L34" s="16"/>
    </row>
  </sheetData>
  <mergeCells count="17">
    <mergeCell ref="A12:P13"/>
    <mergeCell ref="A6:P6"/>
    <mergeCell ref="A7:P7"/>
    <mergeCell ref="A8:P8"/>
    <mergeCell ref="A9:P9"/>
    <mergeCell ref="A10:P11"/>
    <mergeCell ref="O14:O15"/>
    <mergeCell ref="P14:P15"/>
    <mergeCell ref="A33:J34"/>
    <mergeCell ref="A18:A19"/>
    <mergeCell ref="B18:B19"/>
    <mergeCell ref="A14:A15"/>
    <mergeCell ref="B14:E14"/>
    <mergeCell ref="F14:F15"/>
    <mergeCell ref="G14:L14"/>
    <mergeCell ref="M14:M15"/>
    <mergeCell ref="N14:N15"/>
  </mergeCells>
  <printOptions horizontalCentered="1" verticalCentered="1"/>
  <pageMargins left="3.937007874015748E-2" right="3.937007874015748E-2" top="0.74803149606299213" bottom="0.74803149606299213" header="0.31496062992125984" footer="0.31496062992125984"/>
  <pageSetup scale="32"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P39"/>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41.425781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28.7109375" style="10" customWidth="1"/>
    <col min="15" max="15" width="28"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91</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88</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91" t="s">
        <v>226</v>
      </c>
      <c r="B16" s="284" t="s">
        <v>247</v>
      </c>
      <c r="C16" s="26" t="s">
        <v>248</v>
      </c>
      <c r="D16" s="20">
        <v>500</v>
      </c>
      <c r="E16" s="280" t="s">
        <v>60</v>
      </c>
      <c r="F16" s="286" t="s">
        <v>249</v>
      </c>
      <c r="G16" s="155">
        <v>200</v>
      </c>
      <c r="H16" s="155">
        <v>223</v>
      </c>
      <c r="I16" s="156">
        <v>228</v>
      </c>
      <c r="J16" s="156">
        <f>+SUM(G16:I16)</f>
        <v>651</v>
      </c>
      <c r="K16" s="13">
        <f>+IFERROR(J16/D16,"-")</f>
        <v>1.302</v>
      </c>
      <c r="L16" s="13">
        <f>+K16+143.4%</f>
        <v>2.7360000000000002</v>
      </c>
      <c r="M16" s="292" t="s">
        <v>114</v>
      </c>
      <c r="N16" s="284" t="s">
        <v>265</v>
      </c>
      <c r="O16" s="286" t="s">
        <v>266</v>
      </c>
      <c r="P16" s="65"/>
    </row>
    <row r="17" spans="1:16" ht="99.95" customHeight="1" thickBot="1" x14ac:dyDescent="0.3">
      <c r="A17" s="283"/>
      <c r="B17" s="289"/>
      <c r="C17" s="164" t="s">
        <v>250</v>
      </c>
      <c r="D17" s="22">
        <v>3500</v>
      </c>
      <c r="E17" s="290"/>
      <c r="F17" s="287"/>
      <c r="G17" s="155">
        <v>195</v>
      </c>
      <c r="H17" s="155">
        <v>205</v>
      </c>
      <c r="I17" s="156">
        <v>114</v>
      </c>
      <c r="J17" s="156">
        <f t="shared" ref="J17:J27" si="0">+SUM(G17:I17)</f>
        <v>514</v>
      </c>
      <c r="K17" s="13">
        <f t="shared" ref="K17:K27" si="1">+IFERROR(J17/D17,"-")</f>
        <v>0.14685714285714285</v>
      </c>
      <c r="L17" s="13">
        <f>+K17+18.2%</f>
        <v>0.32885714285714285</v>
      </c>
      <c r="M17" s="293"/>
      <c r="N17" s="289"/>
      <c r="O17" s="287"/>
      <c r="P17" s="65"/>
    </row>
    <row r="18" spans="1:16" ht="99.95" customHeight="1" thickBot="1" x14ac:dyDescent="0.3">
      <c r="A18" s="283"/>
      <c r="B18" s="285"/>
      <c r="C18" s="26" t="s">
        <v>251</v>
      </c>
      <c r="D18" s="24">
        <v>950000</v>
      </c>
      <c r="E18" s="281"/>
      <c r="F18" s="288"/>
      <c r="G18" s="155">
        <v>380000</v>
      </c>
      <c r="H18" s="155">
        <v>423700</v>
      </c>
      <c r="I18" s="156">
        <v>433200</v>
      </c>
      <c r="J18" s="156">
        <f t="shared" si="0"/>
        <v>1236900</v>
      </c>
      <c r="K18" s="13">
        <f t="shared" si="1"/>
        <v>1.302</v>
      </c>
      <c r="L18" s="13">
        <f>+K18+143.4%</f>
        <v>2.7360000000000002</v>
      </c>
      <c r="M18" s="293"/>
      <c r="N18" s="285"/>
      <c r="O18" s="288"/>
      <c r="P18" s="65"/>
    </row>
    <row r="19" spans="1:16" ht="99.95" customHeight="1" thickBot="1" x14ac:dyDescent="0.3">
      <c r="A19" s="283"/>
      <c r="B19" s="284" t="s">
        <v>252</v>
      </c>
      <c r="C19" s="26" t="s">
        <v>253</v>
      </c>
      <c r="D19" s="25">
        <v>2760</v>
      </c>
      <c r="E19" s="280" t="s">
        <v>37</v>
      </c>
      <c r="F19" s="286" t="s">
        <v>254</v>
      </c>
      <c r="G19" s="155">
        <v>532</v>
      </c>
      <c r="H19" s="155">
        <v>510</v>
      </c>
      <c r="I19" s="156">
        <v>335</v>
      </c>
      <c r="J19" s="156">
        <f t="shared" si="0"/>
        <v>1377</v>
      </c>
      <c r="K19" s="13">
        <f t="shared" si="1"/>
        <v>0.49891304347826088</v>
      </c>
      <c r="L19" s="13">
        <f>+K19+165.289855072464%</f>
        <v>2.151811594202901</v>
      </c>
      <c r="M19" s="293"/>
      <c r="N19" s="284" t="s">
        <v>265</v>
      </c>
      <c r="O19" s="286" t="s">
        <v>267</v>
      </c>
      <c r="P19" s="65"/>
    </row>
    <row r="20" spans="1:16" ht="113.25" customHeight="1" thickBot="1" x14ac:dyDescent="0.3">
      <c r="A20" s="283"/>
      <c r="B20" s="285"/>
      <c r="C20" s="26" t="s">
        <v>251</v>
      </c>
      <c r="D20" s="24">
        <v>1435200</v>
      </c>
      <c r="E20" s="281"/>
      <c r="F20" s="288"/>
      <c r="G20" s="155">
        <v>292952</v>
      </c>
      <c r="H20" s="155">
        <v>281750</v>
      </c>
      <c r="I20" s="156">
        <v>174200</v>
      </c>
      <c r="J20" s="156">
        <f t="shared" si="0"/>
        <v>748902</v>
      </c>
      <c r="K20" s="13">
        <f t="shared" si="1"/>
        <v>0.52181020066889627</v>
      </c>
      <c r="L20" s="13">
        <f>+K20+162.551351727982%</f>
        <v>2.1473237179487161</v>
      </c>
      <c r="M20" s="294"/>
      <c r="N20" s="285"/>
      <c r="O20" s="288"/>
      <c r="P20" s="65"/>
    </row>
    <row r="21" spans="1:16" ht="99.95" customHeight="1" thickBot="1" x14ac:dyDescent="0.3">
      <c r="A21" s="283" t="s">
        <v>226</v>
      </c>
      <c r="B21" s="284" t="s">
        <v>255</v>
      </c>
      <c r="C21" s="26" t="s">
        <v>256</v>
      </c>
      <c r="D21" s="20">
        <v>4</v>
      </c>
      <c r="E21" s="280" t="s">
        <v>199</v>
      </c>
      <c r="F21" s="286" t="s">
        <v>257</v>
      </c>
      <c r="G21" s="155">
        <v>0</v>
      </c>
      <c r="H21" s="155">
        <v>0</v>
      </c>
      <c r="I21" s="156">
        <v>1</v>
      </c>
      <c r="J21" s="156">
        <f t="shared" si="0"/>
        <v>1</v>
      </c>
      <c r="K21" s="13">
        <f t="shared" si="1"/>
        <v>0.25</v>
      </c>
      <c r="L21" s="13">
        <f>+K21+25%</f>
        <v>0.5</v>
      </c>
      <c r="M21" s="292" t="s">
        <v>114</v>
      </c>
      <c r="N21" s="284" t="s">
        <v>265</v>
      </c>
      <c r="O21" s="286" t="s">
        <v>268</v>
      </c>
      <c r="P21" s="65"/>
    </row>
    <row r="22" spans="1:16" ht="99.95" customHeight="1" thickBot="1" x14ac:dyDescent="0.3">
      <c r="A22" s="283"/>
      <c r="B22" s="289"/>
      <c r="C22" s="26" t="s">
        <v>250</v>
      </c>
      <c r="D22" s="20">
        <v>48</v>
      </c>
      <c r="E22" s="290"/>
      <c r="F22" s="287"/>
      <c r="G22" s="155">
        <v>0</v>
      </c>
      <c r="H22" s="155">
        <v>0</v>
      </c>
      <c r="I22" s="156">
        <v>10</v>
      </c>
      <c r="J22" s="156">
        <f t="shared" si="0"/>
        <v>10</v>
      </c>
      <c r="K22" s="13">
        <f t="shared" si="1"/>
        <v>0.20833333333333334</v>
      </c>
      <c r="L22" s="13">
        <f>+K22+0%</f>
        <v>0.20833333333333334</v>
      </c>
      <c r="M22" s="293"/>
      <c r="N22" s="289"/>
      <c r="O22" s="287"/>
      <c r="P22" s="65"/>
    </row>
    <row r="23" spans="1:16" ht="99.95" customHeight="1" thickBot="1" x14ac:dyDescent="0.3">
      <c r="A23" s="283"/>
      <c r="B23" s="285"/>
      <c r="C23" s="26" t="s">
        <v>251</v>
      </c>
      <c r="D23" s="20">
        <v>55200</v>
      </c>
      <c r="E23" s="281"/>
      <c r="F23" s="288"/>
      <c r="G23" s="155">
        <v>0</v>
      </c>
      <c r="H23" s="155">
        <v>0</v>
      </c>
      <c r="I23" s="156">
        <v>80000</v>
      </c>
      <c r="J23" s="156">
        <f t="shared" si="0"/>
        <v>80000</v>
      </c>
      <c r="K23" s="13">
        <f t="shared" si="1"/>
        <v>1.4492753623188406</v>
      </c>
      <c r="L23" s="13">
        <f>+K23+32.6086956521739%</f>
        <v>1.7753623188405796</v>
      </c>
      <c r="M23" s="294"/>
      <c r="N23" s="285"/>
      <c r="O23" s="288"/>
      <c r="P23" s="65"/>
    </row>
    <row r="24" spans="1:16" ht="99.95" customHeight="1" thickBot="1" x14ac:dyDescent="0.3">
      <c r="A24" s="283"/>
      <c r="B24" s="284" t="s">
        <v>258</v>
      </c>
      <c r="C24" s="26" t="s">
        <v>259</v>
      </c>
      <c r="D24" s="20">
        <v>2</v>
      </c>
      <c r="E24" s="280" t="s">
        <v>199</v>
      </c>
      <c r="F24" s="286" t="s">
        <v>260</v>
      </c>
      <c r="G24" s="155">
        <v>0</v>
      </c>
      <c r="H24" s="155">
        <v>0</v>
      </c>
      <c r="I24" s="156">
        <v>0</v>
      </c>
      <c r="J24" s="156">
        <f>+IF(AND(G24&lt;&gt;"",H24="",I24=""),G24,IF(AND(G24&lt;&gt;"",H24&lt;&gt;"",I24=""),H24,IF(AND(G24&lt;&gt;"",H24&lt;&gt;"",I24&lt;&gt;""),I24,"N/D")))</f>
        <v>0</v>
      </c>
      <c r="K24" s="13">
        <f t="shared" si="1"/>
        <v>0</v>
      </c>
      <c r="L24" s="13">
        <f>+IFERROR(K24+0%,0)</f>
        <v>0</v>
      </c>
      <c r="M24" s="292" t="s">
        <v>114</v>
      </c>
      <c r="N24" s="284" t="s">
        <v>265</v>
      </c>
      <c r="O24" s="286" t="s">
        <v>269</v>
      </c>
      <c r="P24" s="65"/>
    </row>
    <row r="25" spans="1:16" ht="99.95" customHeight="1" thickBot="1" x14ac:dyDescent="0.3">
      <c r="A25" s="283"/>
      <c r="B25" s="289"/>
      <c r="C25" s="26" t="s">
        <v>250</v>
      </c>
      <c r="D25" s="20">
        <v>34</v>
      </c>
      <c r="E25" s="290"/>
      <c r="F25" s="287"/>
      <c r="G25" s="155">
        <v>0</v>
      </c>
      <c r="H25" s="155">
        <v>0</v>
      </c>
      <c r="I25" s="156">
        <v>0</v>
      </c>
      <c r="J25" s="156">
        <f>+IF(AND(G25&lt;&gt;"",H25="",I25=""),G25,IF(AND(G25&lt;&gt;"",H25&lt;&gt;"",I25=""),H25,IF(AND(G25&lt;&gt;"",H25&lt;&gt;"",I25&lt;&gt;""),I25,"N/D")))</f>
        <v>0</v>
      </c>
      <c r="K25" s="13">
        <f t="shared" si="1"/>
        <v>0</v>
      </c>
      <c r="L25" s="13">
        <f>+IFERROR(K25+0%,0)</f>
        <v>0</v>
      </c>
      <c r="M25" s="293"/>
      <c r="N25" s="289"/>
      <c r="O25" s="287"/>
      <c r="P25" s="65"/>
    </row>
    <row r="26" spans="1:16" ht="99.95" customHeight="1" thickBot="1" x14ac:dyDescent="0.3">
      <c r="A26" s="283"/>
      <c r="B26" s="285"/>
      <c r="C26" s="26" t="s">
        <v>251</v>
      </c>
      <c r="D26" s="20">
        <v>172800</v>
      </c>
      <c r="E26" s="281"/>
      <c r="F26" s="288"/>
      <c r="G26" s="155">
        <v>0</v>
      </c>
      <c r="H26" s="155">
        <v>0</v>
      </c>
      <c r="I26" s="156">
        <v>0</v>
      </c>
      <c r="J26" s="156">
        <f t="shared" si="0"/>
        <v>0</v>
      </c>
      <c r="K26" s="13">
        <f t="shared" si="1"/>
        <v>0</v>
      </c>
      <c r="L26" s="13">
        <f>+K26+0%</f>
        <v>0</v>
      </c>
      <c r="M26" s="293"/>
      <c r="N26" s="285"/>
      <c r="O26" s="288"/>
      <c r="P26" s="65"/>
    </row>
    <row r="27" spans="1:16" ht="264" customHeight="1" thickBot="1" x14ac:dyDescent="0.3">
      <c r="A27" s="26" t="s">
        <v>261</v>
      </c>
      <c r="B27" s="26" t="s">
        <v>262</v>
      </c>
      <c r="C27" s="26" t="s">
        <v>263</v>
      </c>
      <c r="D27" s="20">
        <v>2</v>
      </c>
      <c r="E27" s="21" t="s">
        <v>37</v>
      </c>
      <c r="F27" s="60" t="s">
        <v>264</v>
      </c>
      <c r="G27" s="155">
        <v>0</v>
      </c>
      <c r="H27" s="155">
        <v>0</v>
      </c>
      <c r="I27" s="156">
        <v>0</v>
      </c>
      <c r="J27" s="156">
        <f t="shared" si="0"/>
        <v>0</v>
      </c>
      <c r="K27" s="13">
        <f t="shared" si="1"/>
        <v>0</v>
      </c>
      <c r="L27" s="13">
        <f>+K27+50%</f>
        <v>0.5</v>
      </c>
      <c r="M27" s="295"/>
      <c r="N27" s="64" t="s">
        <v>270</v>
      </c>
      <c r="O27" s="61" t="s">
        <v>271</v>
      </c>
      <c r="P27" s="65"/>
    </row>
    <row r="28" spans="1:16" x14ac:dyDescent="0.25">
      <c r="A28" s="14"/>
      <c r="B28" s="14"/>
      <c r="C28" s="14"/>
      <c r="D28" s="14"/>
      <c r="E28" s="14"/>
      <c r="F28" s="15"/>
      <c r="G28" s="14"/>
      <c r="H28" s="14"/>
      <c r="I28" s="14"/>
      <c r="J28" s="14"/>
      <c r="K28" s="14"/>
      <c r="L28" s="14"/>
      <c r="M28" s="15"/>
      <c r="N28" s="15"/>
      <c r="O28" s="15"/>
    </row>
    <row r="29" spans="1:16" x14ac:dyDescent="0.25">
      <c r="A29" s="14"/>
      <c r="B29" s="14"/>
      <c r="C29" s="14"/>
      <c r="D29" s="14"/>
      <c r="E29" s="14"/>
      <c r="F29" s="15"/>
      <c r="G29" s="14"/>
      <c r="H29" s="14"/>
      <c r="I29" s="14"/>
      <c r="J29" s="14"/>
      <c r="K29" s="14"/>
      <c r="L29" s="14"/>
      <c r="M29" s="15"/>
      <c r="N29" s="15"/>
      <c r="O29" s="15"/>
    </row>
    <row r="30" spans="1:16" x14ac:dyDescent="0.25">
      <c r="A30" s="14"/>
      <c r="B30" s="14"/>
      <c r="C30" s="14"/>
      <c r="D30" s="14"/>
      <c r="E30" s="14"/>
      <c r="F30" s="15"/>
      <c r="G30" s="14"/>
      <c r="H30" s="14"/>
      <c r="I30" s="14"/>
      <c r="J30" s="14"/>
      <c r="K30" s="14"/>
      <c r="L30" s="14"/>
      <c r="M30" s="15"/>
      <c r="N30" s="15"/>
      <c r="O30" s="15"/>
    </row>
    <row r="31" spans="1:16" x14ac:dyDescent="0.25">
      <c r="A31" s="14"/>
      <c r="B31" s="14"/>
      <c r="C31" s="14"/>
      <c r="D31" s="14"/>
      <c r="E31" s="14"/>
      <c r="F31" s="15"/>
      <c r="G31" s="14"/>
      <c r="H31" s="14"/>
      <c r="I31" s="14"/>
      <c r="J31" s="14"/>
      <c r="K31" s="14"/>
      <c r="L31" s="14"/>
      <c r="M31" s="15"/>
      <c r="N31" s="15"/>
      <c r="O31" s="15"/>
    </row>
    <row r="32" spans="1:16" x14ac:dyDescent="0.25">
      <c r="A32" s="15"/>
      <c r="B32" s="15"/>
      <c r="C32" s="15"/>
      <c r="D32" s="15"/>
      <c r="E32" s="15"/>
      <c r="F32" s="15"/>
      <c r="G32" s="15"/>
      <c r="H32" s="15"/>
      <c r="I32" s="15"/>
      <c r="J32" s="15"/>
      <c r="K32" s="15"/>
      <c r="L32" s="15"/>
      <c r="M32" s="15"/>
      <c r="N32" s="15"/>
      <c r="O32" s="15"/>
    </row>
    <row r="33" spans="1:15" x14ac:dyDescent="0.25">
      <c r="A33" s="15"/>
      <c r="B33" s="15"/>
      <c r="C33" s="15"/>
      <c r="D33" s="15"/>
      <c r="E33" s="15"/>
      <c r="F33" s="15"/>
      <c r="G33" s="15"/>
      <c r="H33" s="15"/>
      <c r="I33" s="15"/>
      <c r="J33" s="15"/>
      <c r="K33" s="15"/>
      <c r="L33" s="15"/>
      <c r="M33" s="15"/>
      <c r="N33" s="15"/>
      <c r="O33" s="15"/>
    </row>
    <row r="34" spans="1:15" x14ac:dyDescent="0.25">
      <c r="A34" s="15"/>
      <c r="B34" s="15"/>
      <c r="C34" s="15"/>
      <c r="D34" s="15"/>
      <c r="E34" s="15"/>
      <c r="F34" s="15"/>
      <c r="G34" s="15"/>
      <c r="H34" s="15"/>
      <c r="I34" s="15"/>
      <c r="J34" s="15"/>
      <c r="K34" s="15"/>
      <c r="L34" s="15"/>
      <c r="M34" s="15"/>
      <c r="N34" s="15"/>
      <c r="O34" s="15"/>
    </row>
    <row r="35" spans="1:15" x14ac:dyDescent="0.25">
      <c r="A35" s="15"/>
      <c r="B35" s="15"/>
      <c r="C35" s="15"/>
      <c r="D35" s="15"/>
      <c r="E35" s="15"/>
      <c r="F35" s="15"/>
      <c r="G35" s="15"/>
      <c r="H35" s="15"/>
      <c r="I35" s="15"/>
      <c r="J35" s="15"/>
      <c r="K35" s="15"/>
      <c r="L35" s="15"/>
      <c r="M35" s="15"/>
      <c r="N35" s="15"/>
      <c r="O35" s="15"/>
    </row>
    <row r="36" spans="1:15" x14ac:dyDescent="0.25">
      <c r="A36" s="15"/>
      <c r="B36" s="15"/>
      <c r="C36" s="15"/>
      <c r="D36" s="15"/>
      <c r="E36" s="15"/>
      <c r="F36" s="15"/>
      <c r="G36" s="15"/>
      <c r="H36" s="15"/>
      <c r="I36" s="15"/>
      <c r="J36" s="15"/>
      <c r="K36" s="15"/>
      <c r="L36" s="15"/>
      <c r="M36" s="15"/>
      <c r="N36" s="15"/>
      <c r="O36" s="15"/>
    </row>
    <row r="37" spans="1:15" x14ac:dyDescent="0.25">
      <c r="A37" s="15"/>
      <c r="B37" s="15"/>
      <c r="C37" s="15"/>
      <c r="D37" s="15"/>
      <c r="E37" s="15"/>
      <c r="F37" s="15"/>
      <c r="G37" s="15"/>
      <c r="H37" s="15"/>
      <c r="I37" s="15"/>
      <c r="J37" s="15"/>
      <c r="K37" s="15"/>
      <c r="L37" s="15"/>
      <c r="M37" s="15"/>
      <c r="N37" s="15"/>
      <c r="O37" s="15"/>
    </row>
    <row r="38" spans="1:15" ht="15" customHeight="1" x14ac:dyDescent="0.25">
      <c r="A38" s="277"/>
      <c r="B38" s="277"/>
      <c r="C38" s="277"/>
      <c r="D38" s="277"/>
      <c r="E38" s="277"/>
      <c r="F38" s="277"/>
      <c r="G38" s="277"/>
      <c r="H38" s="277"/>
      <c r="I38" s="277"/>
      <c r="J38" s="277"/>
      <c r="K38" s="16"/>
      <c r="L38" s="16"/>
    </row>
    <row r="39" spans="1:15" x14ac:dyDescent="0.25">
      <c r="A39" s="277"/>
      <c r="B39" s="277"/>
      <c r="C39" s="277"/>
      <c r="D39" s="277"/>
      <c r="E39" s="277"/>
      <c r="F39" s="277"/>
      <c r="G39" s="277"/>
      <c r="H39" s="277"/>
      <c r="I39" s="277"/>
      <c r="J39" s="277"/>
      <c r="K39" s="16"/>
      <c r="L39" s="16"/>
    </row>
  </sheetData>
  <mergeCells count="40">
    <mergeCell ref="M21:M23"/>
    <mergeCell ref="M24:M27"/>
    <mergeCell ref="A12:P13"/>
    <mergeCell ref="O14:O15"/>
    <mergeCell ref="P14:P15"/>
    <mergeCell ref="A14:A15"/>
    <mergeCell ref="B14:E14"/>
    <mergeCell ref="F14:F15"/>
    <mergeCell ref="G14:L14"/>
    <mergeCell ref="N21:N23"/>
    <mergeCell ref="N24:N26"/>
    <mergeCell ref="O21:O23"/>
    <mergeCell ref="M14:M15"/>
    <mergeCell ref="N14:N15"/>
    <mergeCell ref="N16:N18"/>
    <mergeCell ref="O16:O18"/>
    <mergeCell ref="N19:N20"/>
    <mergeCell ref="A6:P6"/>
    <mergeCell ref="A7:P7"/>
    <mergeCell ref="A8:P8"/>
    <mergeCell ref="A9:P9"/>
    <mergeCell ref="A10:P11"/>
    <mergeCell ref="O19:O20"/>
    <mergeCell ref="M16:M20"/>
    <mergeCell ref="O24:O26"/>
    <mergeCell ref="A38:J39"/>
    <mergeCell ref="B16:B18"/>
    <mergeCell ref="E16:E18"/>
    <mergeCell ref="F16:F18"/>
    <mergeCell ref="B19:B20"/>
    <mergeCell ref="E19:E20"/>
    <mergeCell ref="F19:F20"/>
    <mergeCell ref="B21:B23"/>
    <mergeCell ref="E21:E23"/>
    <mergeCell ref="F21:F23"/>
    <mergeCell ref="B24:B26"/>
    <mergeCell ref="E24:E26"/>
    <mergeCell ref="F24:F26"/>
    <mergeCell ref="A16:A20"/>
    <mergeCell ref="A21:A26"/>
  </mergeCells>
  <printOptions horizontalCentered="1" verticalCentered="1"/>
  <pageMargins left="3.937007874015748E-2" right="3.937007874015748E-2" top="0.35433070866141736" bottom="0.39370078740157483" header="0.31496062992125984" footer="0.23622047244094491"/>
  <pageSetup scale="35" fitToHeight="0" orientation="landscape" r:id="rId1"/>
  <rowBreaks count="1" manualBreakCount="1">
    <brk id="20" max="15" man="1"/>
  </rowBreaks>
  <ignoredErrors>
    <ignoredError sqref="L1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P42"/>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52.4257812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92</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88</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112.5" customHeight="1" thickBot="1" x14ac:dyDescent="0.3">
      <c r="A16" s="296" t="s">
        <v>272</v>
      </c>
      <c r="B16" s="66" t="s">
        <v>273</v>
      </c>
      <c r="C16" s="66" t="s">
        <v>274</v>
      </c>
      <c r="D16" s="20">
        <v>2</v>
      </c>
      <c r="E16" s="67" t="s">
        <v>37</v>
      </c>
      <c r="F16" s="68" t="s">
        <v>275</v>
      </c>
      <c r="G16" s="155">
        <v>0</v>
      </c>
      <c r="H16" s="155">
        <v>1</v>
      </c>
      <c r="I16" s="155">
        <v>0</v>
      </c>
      <c r="J16" s="156">
        <f>+SUM(G16:I16)</f>
        <v>1</v>
      </c>
      <c r="K16" s="13">
        <f>+IFERROR(J16/D16,"-")</f>
        <v>0.5</v>
      </c>
      <c r="L16" s="13">
        <f>+K16+150%</f>
        <v>2</v>
      </c>
      <c r="M16" s="66" t="s">
        <v>81</v>
      </c>
      <c r="N16" s="75" t="s">
        <v>324</v>
      </c>
      <c r="O16" s="68" t="s">
        <v>325</v>
      </c>
      <c r="P16" s="76" t="s">
        <v>326</v>
      </c>
    </row>
    <row r="17" spans="1:16" ht="126" customHeight="1" thickBot="1" x14ac:dyDescent="0.3">
      <c r="A17" s="296"/>
      <c r="B17" s="66" t="s">
        <v>276</v>
      </c>
      <c r="C17" s="66" t="s">
        <v>277</v>
      </c>
      <c r="D17" s="22">
        <v>24</v>
      </c>
      <c r="E17" s="67" t="s">
        <v>37</v>
      </c>
      <c r="F17" s="68" t="s">
        <v>278</v>
      </c>
      <c r="G17" s="155">
        <v>1</v>
      </c>
      <c r="H17" s="155">
        <v>2</v>
      </c>
      <c r="I17" s="155">
        <v>0</v>
      </c>
      <c r="J17" s="156">
        <f t="shared" ref="J17:J30" si="0">+SUM(G17:I17)</f>
        <v>3</v>
      </c>
      <c r="K17" s="13">
        <f t="shared" ref="K17:K30" si="1">+IFERROR(J17/D17,"-")</f>
        <v>0.125</v>
      </c>
      <c r="L17" s="13">
        <f>+K17+50%</f>
        <v>0.625</v>
      </c>
      <c r="M17" s="66" t="s">
        <v>81</v>
      </c>
      <c r="N17" s="75" t="s">
        <v>324</v>
      </c>
      <c r="O17" s="77" t="s">
        <v>327</v>
      </c>
      <c r="P17" s="76" t="s">
        <v>328</v>
      </c>
    </row>
    <row r="18" spans="1:16" ht="99.95" customHeight="1" thickBot="1" x14ac:dyDescent="0.3">
      <c r="A18" s="296" t="s">
        <v>279</v>
      </c>
      <c r="B18" s="66" t="s">
        <v>280</v>
      </c>
      <c r="C18" s="66" t="s">
        <v>281</v>
      </c>
      <c r="D18" s="24">
        <v>36</v>
      </c>
      <c r="E18" s="67" t="s">
        <v>37</v>
      </c>
      <c r="F18" s="68" t="s">
        <v>282</v>
      </c>
      <c r="G18" s="155">
        <v>6</v>
      </c>
      <c r="H18" s="155">
        <v>4</v>
      </c>
      <c r="I18" s="155">
        <v>4</v>
      </c>
      <c r="J18" s="156">
        <f t="shared" si="0"/>
        <v>14</v>
      </c>
      <c r="K18" s="13">
        <f t="shared" si="1"/>
        <v>0.3888888888888889</v>
      </c>
      <c r="L18" s="13">
        <f>+K18+88.8888888888889%</f>
        <v>1.2777777777777779</v>
      </c>
      <c r="M18" s="66" t="s">
        <v>81</v>
      </c>
      <c r="N18" s="66" t="s">
        <v>329</v>
      </c>
      <c r="O18" s="77" t="s">
        <v>330</v>
      </c>
      <c r="P18" s="76"/>
    </row>
    <row r="19" spans="1:16" ht="99.95" customHeight="1" thickBot="1" x14ac:dyDescent="0.3">
      <c r="A19" s="296"/>
      <c r="B19" s="66" t="s">
        <v>283</v>
      </c>
      <c r="C19" s="66" t="s">
        <v>284</v>
      </c>
      <c r="D19" s="25">
        <v>12</v>
      </c>
      <c r="E19" s="67" t="s">
        <v>37</v>
      </c>
      <c r="F19" s="68" t="s">
        <v>285</v>
      </c>
      <c r="G19" s="155">
        <v>4</v>
      </c>
      <c r="H19" s="155">
        <v>4</v>
      </c>
      <c r="I19" s="155">
        <v>3</v>
      </c>
      <c r="J19" s="156">
        <f t="shared" si="0"/>
        <v>11</v>
      </c>
      <c r="K19" s="13">
        <f t="shared" si="1"/>
        <v>0.91666666666666663</v>
      </c>
      <c r="L19" s="13">
        <f>+K19+216.666666666666%</f>
        <v>3.0833333333333264</v>
      </c>
      <c r="M19" s="66" t="s">
        <v>81</v>
      </c>
      <c r="N19" s="66" t="s">
        <v>331</v>
      </c>
      <c r="O19" s="77" t="s">
        <v>332</v>
      </c>
      <c r="P19" s="76" t="s">
        <v>328</v>
      </c>
    </row>
    <row r="20" spans="1:16" ht="213" customHeight="1" thickBot="1" x14ac:dyDescent="0.3">
      <c r="A20" s="66" t="s">
        <v>286</v>
      </c>
      <c r="B20" s="66" t="s">
        <v>287</v>
      </c>
      <c r="C20" s="66" t="s">
        <v>288</v>
      </c>
      <c r="D20" s="24">
        <v>4</v>
      </c>
      <c r="E20" s="69" t="s">
        <v>37</v>
      </c>
      <c r="F20" s="68" t="s">
        <v>289</v>
      </c>
      <c r="G20" s="155">
        <v>0</v>
      </c>
      <c r="H20" s="155">
        <v>0</v>
      </c>
      <c r="I20" s="155">
        <v>1</v>
      </c>
      <c r="J20" s="156">
        <f t="shared" si="0"/>
        <v>1</v>
      </c>
      <c r="K20" s="13">
        <f t="shared" si="1"/>
        <v>0.25</v>
      </c>
      <c r="L20" s="13">
        <f>+K20+25%</f>
        <v>0.5</v>
      </c>
      <c r="M20" s="66" t="s">
        <v>333</v>
      </c>
      <c r="N20" s="78" t="s">
        <v>334</v>
      </c>
      <c r="O20" s="77" t="s">
        <v>335</v>
      </c>
      <c r="P20" s="76"/>
    </row>
    <row r="21" spans="1:16" ht="156" customHeight="1" thickBot="1" x14ac:dyDescent="0.3">
      <c r="A21" s="66" t="s">
        <v>290</v>
      </c>
      <c r="B21" s="66" t="s">
        <v>291</v>
      </c>
      <c r="C21" s="66" t="s">
        <v>292</v>
      </c>
      <c r="D21" s="20">
        <v>2</v>
      </c>
      <c r="E21" s="69" t="s">
        <v>199</v>
      </c>
      <c r="F21" s="68" t="s">
        <v>293</v>
      </c>
      <c r="G21" s="155">
        <v>0</v>
      </c>
      <c r="H21" s="155">
        <v>0</v>
      </c>
      <c r="I21" s="155">
        <v>0</v>
      </c>
      <c r="J21" s="156">
        <f t="shared" si="0"/>
        <v>0</v>
      </c>
      <c r="K21" s="13">
        <f t="shared" si="1"/>
        <v>0</v>
      </c>
      <c r="L21" s="13">
        <f>+K21+0%</f>
        <v>0</v>
      </c>
      <c r="M21" s="66" t="s">
        <v>333</v>
      </c>
      <c r="N21" s="78" t="s">
        <v>336</v>
      </c>
      <c r="O21" s="77" t="s">
        <v>337</v>
      </c>
      <c r="P21" s="76"/>
    </row>
    <row r="22" spans="1:16" ht="201.75" customHeight="1" thickBot="1" x14ac:dyDescent="0.3">
      <c r="A22" s="66" t="s">
        <v>294</v>
      </c>
      <c r="B22" s="66" t="s">
        <v>295</v>
      </c>
      <c r="C22" s="66" t="s">
        <v>296</v>
      </c>
      <c r="D22" s="20">
        <v>12</v>
      </c>
      <c r="E22" s="69" t="s">
        <v>60</v>
      </c>
      <c r="F22" s="68" t="s">
        <v>297</v>
      </c>
      <c r="G22" s="155">
        <v>0</v>
      </c>
      <c r="H22" s="155">
        <v>0</v>
      </c>
      <c r="I22" s="155">
        <v>3</v>
      </c>
      <c r="J22" s="156">
        <f t="shared" si="0"/>
        <v>3</v>
      </c>
      <c r="K22" s="13">
        <f t="shared" si="1"/>
        <v>0.25</v>
      </c>
      <c r="L22" s="13">
        <f>+K22+50%</f>
        <v>0.75</v>
      </c>
      <c r="M22" s="66" t="s">
        <v>333</v>
      </c>
      <c r="N22" s="78" t="s">
        <v>338</v>
      </c>
      <c r="O22" s="77" t="s">
        <v>339</v>
      </c>
      <c r="P22" s="76"/>
    </row>
    <row r="23" spans="1:16" ht="99.95" customHeight="1" thickBot="1" x14ac:dyDescent="0.3">
      <c r="A23" s="66" t="s">
        <v>298</v>
      </c>
      <c r="B23" s="66" t="s">
        <v>299</v>
      </c>
      <c r="C23" s="66" t="s">
        <v>300</v>
      </c>
      <c r="D23" s="20">
        <v>1</v>
      </c>
      <c r="E23" s="69" t="s">
        <v>60</v>
      </c>
      <c r="F23" s="68" t="s">
        <v>301</v>
      </c>
      <c r="G23" s="155">
        <v>0</v>
      </c>
      <c r="H23" s="155">
        <v>0</v>
      </c>
      <c r="I23" s="155">
        <v>0</v>
      </c>
      <c r="J23" s="156">
        <f t="shared" si="0"/>
        <v>0</v>
      </c>
      <c r="K23" s="13">
        <f t="shared" si="1"/>
        <v>0</v>
      </c>
      <c r="L23" s="13">
        <f>+K23+0%</f>
        <v>0</v>
      </c>
      <c r="M23" s="66" t="s">
        <v>333</v>
      </c>
      <c r="N23" s="78" t="s">
        <v>340</v>
      </c>
      <c r="O23" s="77" t="s">
        <v>341</v>
      </c>
      <c r="P23" s="76"/>
    </row>
    <row r="24" spans="1:16" ht="99.95" customHeight="1" thickBot="1" x14ac:dyDescent="0.3">
      <c r="A24" s="66" t="s">
        <v>302</v>
      </c>
      <c r="B24" s="66" t="s">
        <v>303</v>
      </c>
      <c r="C24" s="70" t="s">
        <v>304</v>
      </c>
      <c r="D24" s="20">
        <v>1</v>
      </c>
      <c r="E24" s="71" t="s">
        <v>37</v>
      </c>
      <c r="F24" s="68" t="s">
        <v>305</v>
      </c>
      <c r="G24" s="155">
        <v>0</v>
      </c>
      <c r="H24" s="155">
        <v>0</v>
      </c>
      <c r="I24" s="155">
        <v>0</v>
      </c>
      <c r="J24" s="156">
        <f t="shared" si="0"/>
        <v>0</v>
      </c>
      <c r="K24" s="13">
        <f t="shared" si="1"/>
        <v>0</v>
      </c>
      <c r="L24" s="13">
        <f>+K24+100%</f>
        <v>1</v>
      </c>
      <c r="M24" s="66" t="s">
        <v>342</v>
      </c>
      <c r="N24" s="66" t="s">
        <v>67</v>
      </c>
      <c r="O24" s="68" t="s">
        <v>343</v>
      </c>
      <c r="P24" s="76"/>
    </row>
    <row r="25" spans="1:16" ht="114.75" customHeight="1" thickBot="1" x14ac:dyDescent="0.3">
      <c r="A25" s="66" t="s">
        <v>306</v>
      </c>
      <c r="B25" s="66" t="s">
        <v>307</v>
      </c>
      <c r="C25" s="70" t="s">
        <v>304</v>
      </c>
      <c r="D25" s="20">
        <v>1</v>
      </c>
      <c r="E25" s="71" t="s">
        <v>37</v>
      </c>
      <c r="F25" s="68" t="s">
        <v>308</v>
      </c>
      <c r="G25" s="155">
        <v>0</v>
      </c>
      <c r="H25" s="155">
        <v>0</v>
      </c>
      <c r="I25" s="155">
        <v>0</v>
      </c>
      <c r="J25" s="156">
        <f t="shared" si="0"/>
        <v>0</v>
      </c>
      <c r="K25" s="13">
        <f t="shared" si="1"/>
        <v>0</v>
      </c>
      <c r="L25" s="13">
        <f>+K25+0%</f>
        <v>0</v>
      </c>
      <c r="M25" s="66" t="s">
        <v>342</v>
      </c>
      <c r="N25" s="78" t="s">
        <v>344</v>
      </c>
      <c r="O25" s="68" t="s">
        <v>345</v>
      </c>
      <c r="P25" s="76"/>
    </row>
    <row r="26" spans="1:16" ht="99.95" customHeight="1" thickBot="1" x14ac:dyDescent="0.3">
      <c r="A26" s="66" t="s">
        <v>309</v>
      </c>
      <c r="B26" s="66" t="s">
        <v>310</v>
      </c>
      <c r="C26" s="70" t="s">
        <v>304</v>
      </c>
      <c r="D26" s="20">
        <v>1</v>
      </c>
      <c r="E26" s="71" t="s">
        <v>37</v>
      </c>
      <c r="F26" s="68" t="s">
        <v>311</v>
      </c>
      <c r="G26" s="155">
        <v>0</v>
      </c>
      <c r="H26" s="155">
        <v>0</v>
      </c>
      <c r="I26" s="155">
        <v>0</v>
      </c>
      <c r="J26" s="156">
        <f t="shared" si="0"/>
        <v>0</v>
      </c>
      <c r="K26" s="13">
        <f t="shared" si="1"/>
        <v>0</v>
      </c>
      <c r="L26" s="13">
        <f>+K26+100%</f>
        <v>1</v>
      </c>
      <c r="M26" s="66" t="s">
        <v>342</v>
      </c>
      <c r="N26" s="78" t="s">
        <v>346</v>
      </c>
      <c r="O26" s="68" t="s">
        <v>347</v>
      </c>
      <c r="P26" s="76"/>
    </row>
    <row r="27" spans="1:16" ht="99.95" customHeight="1" thickBot="1" x14ac:dyDescent="0.3">
      <c r="A27" s="66" t="s">
        <v>312</v>
      </c>
      <c r="B27" s="66" t="s">
        <v>313</v>
      </c>
      <c r="C27" s="70" t="s">
        <v>304</v>
      </c>
      <c r="D27" s="20">
        <v>1</v>
      </c>
      <c r="E27" s="71" t="s">
        <v>37</v>
      </c>
      <c r="F27" s="68" t="s">
        <v>314</v>
      </c>
      <c r="G27" s="155">
        <v>0</v>
      </c>
      <c r="H27" s="155">
        <v>0</v>
      </c>
      <c r="I27" s="155">
        <v>0</v>
      </c>
      <c r="J27" s="156">
        <f t="shared" si="0"/>
        <v>0</v>
      </c>
      <c r="K27" s="13">
        <f t="shared" si="1"/>
        <v>0</v>
      </c>
      <c r="L27" s="13">
        <f>+K27+0%</f>
        <v>0</v>
      </c>
      <c r="M27" s="66" t="s">
        <v>342</v>
      </c>
      <c r="N27" s="66" t="s">
        <v>348</v>
      </c>
      <c r="O27" s="68" t="s">
        <v>349</v>
      </c>
      <c r="P27" s="76"/>
    </row>
    <row r="28" spans="1:16" ht="99.95" customHeight="1" thickBot="1" x14ac:dyDescent="0.3">
      <c r="A28" s="72" t="s">
        <v>315</v>
      </c>
      <c r="B28" s="72" t="s">
        <v>316</v>
      </c>
      <c r="C28" s="73" t="s">
        <v>304</v>
      </c>
      <c r="D28" s="20">
        <v>1</v>
      </c>
      <c r="E28" s="71" t="s">
        <v>37</v>
      </c>
      <c r="F28" s="74" t="s">
        <v>317</v>
      </c>
      <c r="G28" s="155">
        <v>0</v>
      </c>
      <c r="H28" s="155">
        <v>0</v>
      </c>
      <c r="I28" s="155">
        <v>0</v>
      </c>
      <c r="J28" s="156">
        <f t="shared" si="0"/>
        <v>0</v>
      </c>
      <c r="K28" s="13">
        <f t="shared" si="1"/>
        <v>0</v>
      </c>
      <c r="L28" s="13">
        <f>+K28+100%</f>
        <v>1</v>
      </c>
      <c r="M28" s="66" t="s">
        <v>342</v>
      </c>
      <c r="N28" s="72" t="s">
        <v>234</v>
      </c>
      <c r="O28" s="74" t="s">
        <v>350</v>
      </c>
      <c r="P28" s="76"/>
    </row>
    <row r="29" spans="1:16" ht="99.95" customHeight="1" thickBot="1" x14ac:dyDescent="0.3">
      <c r="A29" s="72" t="s">
        <v>318</v>
      </c>
      <c r="B29" s="72" t="s">
        <v>319</v>
      </c>
      <c r="C29" s="73" t="s">
        <v>304</v>
      </c>
      <c r="D29" s="20">
        <v>1</v>
      </c>
      <c r="E29" s="71" t="s">
        <v>37</v>
      </c>
      <c r="F29" s="74" t="s">
        <v>320</v>
      </c>
      <c r="G29" s="155">
        <v>0</v>
      </c>
      <c r="H29" s="155">
        <v>0</v>
      </c>
      <c r="I29" s="155">
        <v>0</v>
      </c>
      <c r="J29" s="156">
        <f t="shared" si="0"/>
        <v>0</v>
      </c>
      <c r="K29" s="13">
        <f t="shared" si="1"/>
        <v>0</v>
      </c>
      <c r="L29" s="13">
        <f>+K29+100%</f>
        <v>1</v>
      </c>
      <c r="M29" s="66" t="s">
        <v>342</v>
      </c>
      <c r="N29" s="78" t="s">
        <v>351</v>
      </c>
      <c r="O29" s="74" t="s">
        <v>352</v>
      </c>
      <c r="P29" s="76"/>
    </row>
    <row r="30" spans="1:16" ht="139.5" customHeight="1" thickBot="1" x14ac:dyDescent="0.3">
      <c r="A30" s="72" t="s">
        <v>321</v>
      </c>
      <c r="B30" s="72" t="s">
        <v>322</v>
      </c>
      <c r="C30" s="73" t="s">
        <v>304</v>
      </c>
      <c r="D30" s="20">
        <v>1</v>
      </c>
      <c r="E30" s="71" t="s">
        <v>37</v>
      </c>
      <c r="F30" s="74" t="s">
        <v>323</v>
      </c>
      <c r="G30" s="155">
        <v>0</v>
      </c>
      <c r="H30" s="155">
        <v>0</v>
      </c>
      <c r="I30" s="155">
        <v>0</v>
      </c>
      <c r="J30" s="156">
        <f t="shared" si="0"/>
        <v>0</v>
      </c>
      <c r="K30" s="13">
        <f t="shared" si="1"/>
        <v>0</v>
      </c>
      <c r="L30" s="13">
        <f>+K30+100%</f>
        <v>1</v>
      </c>
      <c r="M30" s="66" t="s">
        <v>342</v>
      </c>
      <c r="N30" s="79" t="s">
        <v>353</v>
      </c>
      <c r="O30" s="74" t="s">
        <v>354</v>
      </c>
      <c r="P30" s="76"/>
    </row>
    <row r="31" spans="1:16" x14ac:dyDescent="0.25">
      <c r="A31" s="14"/>
      <c r="B31" s="14"/>
      <c r="C31" s="14"/>
      <c r="D31" s="14"/>
      <c r="E31" s="14"/>
      <c r="F31" s="15"/>
      <c r="G31" s="14"/>
      <c r="H31" s="14"/>
      <c r="I31" s="14"/>
      <c r="J31" s="14"/>
      <c r="K31" s="14"/>
      <c r="L31" s="14"/>
      <c r="M31" s="15"/>
      <c r="N31" s="15"/>
      <c r="O31" s="15"/>
    </row>
    <row r="32" spans="1:16" x14ac:dyDescent="0.25">
      <c r="A32" s="14"/>
      <c r="B32" s="14"/>
      <c r="C32" s="14"/>
      <c r="D32" s="14"/>
      <c r="E32" s="14"/>
      <c r="F32" s="15"/>
      <c r="G32" s="14"/>
      <c r="H32" s="14"/>
      <c r="I32" s="14"/>
      <c r="J32" s="14"/>
      <c r="K32" s="14"/>
      <c r="L32" s="14"/>
      <c r="M32" s="15"/>
      <c r="N32" s="15"/>
      <c r="O32" s="15"/>
    </row>
    <row r="33" spans="1:15" x14ac:dyDescent="0.25">
      <c r="A33" s="14"/>
      <c r="B33" s="14"/>
      <c r="C33" s="14"/>
      <c r="D33" s="14"/>
      <c r="E33" s="14"/>
      <c r="F33" s="15"/>
      <c r="G33" s="14"/>
      <c r="H33" s="14"/>
      <c r="I33" s="14"/>
      <c r="J33" s="14"/>
      <c r="K33" s="14"/>
      <c r="L33" s="14"/>
      <c r="M33" s="15"/>
      <c r="N33" s="15"/>
      <c r="O33" s="15"/>
    </row>
    <row r="34" spans="1:15" x14ac:dyDescent="0.25">
      <c r="A34" s="14"/>
      <c r="B34" s="14"/>
      <c r="C34" s="14"/>
      <c r="D34" s="14"/>
      <c r="E34" s="14"/>
      <c r="F34" s="15"/>
      <c r="G34" s="14"/>
      <c r="H34" s="14"/>
      <c r="I34" s="14"/>
      <c r="J34" s="14"/>
      <c r="K34" s="14"/>
      <c r="L34" s="14"/>
      <c r="M34" s="15"/>
      <c r="N34" s="15"/>
      <c r="O34" s="15"/>
    </row>
    <row r="35" spans="1:15" x14ac:dyDescent="0.25">
      <c r="A35" s="15"/>
      <c r="B35" s="15"/>
      <c r="C35" s="15"/>
      <c r="D35" s="15"/>
      <c r="E35" s="15"/>
      <c r="F35" s="15"/>
      <c r="G35" s="15"/>
      <c r="H35" s="15"/>
      <c r="I35" s="15"/>
      <c r="J35" s="15"/>
      <c r="K35" s="15"/>
      <c r="L35" s="15"/>
      <c r="M35" s="15"/>
      <c r="N35" s="15"/>
      <c r="O35" s="15"/>
    </row>
    <row r="36" spans="1:15" x14ac:dyDescent="0.25">
      <c r="A36" s="15"/>
      <c r="B36" s="15"/>
      <c r="C36" s="15"/>
      <c r="D36" s="15"/>
      <c r="E36" s="15"/>
      <c r="F36" s="15"/>
      <c r="G36" s="15"/>
      <c r="H36" s="15"/>
      <c r="I36" s="15"/>
      <c r="J36" s="15"/>
      <c r="K36" s="15"/>
      <c r="L36" s="15"/>
      <c r="M36" s="15"/>
      <c r="N36" s="15"/>
      <c r="O36" s="15"/>
    </row>
    <row r="37" spans="1:15" x14ac:dyDescent="0.25">
      <c r="A37" s="15"/>
      <c r="B37" s="15"/>
      <c r="C37" s="15"/>
      <c r="D37" s="15"/>
      <c r="E37" s="15"/>
      <c r="F37" s="15"/>
      <c r="G37" s="15"/>
      <c r="H37" s="15"/>
      <c r="I37" s="15"/>
      <c r="J37" s="15"/>
      <c r="K37" s="15"/>
      <c r="L37" s="15"/>
      <c r="M37" s="15"/>
      <c r="N37" s="15"/>
      <c r="O37" s="15"/>
    </row>
    <row r="38" spans="1:15" x14ac:dyDescent="0.25">
      <c r="A38" s="15"/>
      <c r="B38" s="15"/>
      <c r="C38" s="15"/>
      <c r="D38" s="15"/>
      <c r="E38" s="15"/>
      <c r="F38" s="15"/>
      <c r="G38" s="15"/>
      <c r="H38" s="15"/>
      <c r="I38" s="15"/>
      <c r="J38" s="15"/>
      <c r="K38" s="15"/>
      <c r="L38" s="15"/>
      <c r="M38" s="15"/>
      <c r="N38" s="15"/>
      <c r="O38" s="15"/>
    </row>
    <row r="39" spans="1:15" x14ac:dyDescent="0.25">
      <c r="A39" s="15"/>
      <c r="B39" s="15"/>
      <c r="C39" s="15"/>
      <c r="D39" s="15"/>
      <c r="E39" s="15"/>
      <c r="F39" s="15"/>
      <c r="G39" s="15"/>
      <c r="H39" s="15"/>
      <c r="I39" s="15"/>
      <c r="J39" s="15"/>
      <c r="K39" s="15"/>
      <c r="L39" s="15"/>
      <c r="M39" s="15"/>
      <c r="N39" s="15"/>
      <c r="O39" s="15"/>
    </row>
    <row r="40" spans="1:15" x14ac:dyDescent="0.25">
      <c r="A40" s="15"/>
      <c r="B40" s="15"/>
      <c r="C40" s="15"/>
      <c r="D40" s="15"/>
      <c r="E40" s="15"/>
      <c r="F40" s="15"/>
      <c r="G40" s="15"/>
      <c r="H40" s="15"/>
      <c r="I40" s="15"/>
      <c r="J40" s="15"/>
      <c r="K40" s="15"/>
      <c r="L40" s="15"/>
      <c r="M40" s="15"/>
      <c r="N40" s="15"/>
      <c r="O40" s="15"/>
    </row>
    <row r="41" spans="1:15" ht="15" customHeight="1" x14ac:dyDescent="0.25">
      <c r="A41" s="277"/>
      <c r="B41" s="277"/>
      <c r="C41" s="277"/>
      <c r="D41" s="277"/>
      <c r="E41" s="277"/>
      <c r="F41" s="277"/>
      <c r="G41" s="277"/>
      <c r="H41" s="277"/>
      <c r="I41" s="277"/>
      <c r="J41" s="277"/>
      <c r="K41" s="16"/>
      <c r="L41" s="16"/>
    </row>
    <row r="42" spans="1:15" x14ac:dyDescent="0.25">
      <c r="A42" s="277"/>
      <c r="B42" s="277"/>
      <c r="C42" s="277"/>
      <c r="D42" s="277"/>
      <c r="E42" s="277"/>
      <c r="F42" s="277"/>
      <c r="G42" s="277"/>
      <c r="H42" s="277"/>
      <c r="I42" s="277"/>
      <c r="J42" s="277"/>
      <c r="K42" s="16"/>
      <c r="L42" s="16"/>
    </row>
  </sheetData>
  <mergeCells count="17">
    <mergeCell ref="A12:P13"/>
    <mergeCell ref="A6:P6"/>
    <mergeCell ref="A7:P7"/>
    <mergeCell ref="A8:P8"/>
    <mergeCell ref="A9:P9"/>
    <mergeCell ref="A10:P11"/>
    <mergeCell ref="O14:O15"/>
    <mergeCell ref="P14:P15"/>
    <mergeCell ref="A41:J42"/>
    <mergeCell ref="A16:A17"/>
    <mergeCell ref="A18:A19"/>
    <mergeCell ref="A14:A15"/>
    <mergeCell ref="B14:E14"/>
    <mergeCell ref="F14:F15"/>
    <mergeCell ref="G14:L14"/>
    <mergeCell ref="M14:M15"/>
    <mergeCell ref="N14:N15"/>
  </mergeCells>
  <dataValidations count="1">
    <dataValidation type="list" allowBlank="1" showInputMessage="1" showErrorMessage="1" sqref="E16:E30">
      <formula1>"A,B,C"</formula1>
    </dataValidation>
  </dataValidations>
  <printOptions horizontalCentered="1" verticalCentered="1"/>
  <pageMargins left="3.937007874015748E-2" right="3.937007874015748E-2" top="0.35433070866141736" bottom="0.39370078740157483" header="0.31496062992125984" footer="0.23622047244094491"/>
  <pageSetup scale="34" fitToHeight="0" orientation="landscape" r:id="rId1"/>
  <rowBreaks count="1" manualBreakCount="1">
    <brk id="2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P47"/>
  <sheetViews>
    <sheetView showGridLines="0" zoomScale="60" zoomScaleNormal="60" zoomScaleSheetLayoutView="20" workbookViewId="0"/>
  </sheetViews>
  <sheetFormatPr baseColWidth="10" defaultColWidth="11.42578125" defaultRowHeight="15" x14ac:dyDescent="0.25"/>
  <cols>
    <col min="1" max="1" width="36.85546875" style="10" customWidth="1"/>
    <col min="2" max="2" width="25.7109375" style="10" customWidth="1"/>
    <col min="3" max="5" width="20.7109375" style="10" customWidth="1"/>
    <col min="6" max="6" width="42.85546875" style="10" customWidth="1"/>
    <col min="7" max="8" width="15.7109375" style="10" customWidth="1"/>
    <col min="9" max="9" width="17.140625" style="10" customWidth="1"/>
    <col min="10" max="11" width="15.7109375" style="10" customWidth="1"/>
    <col min="12" max="12" width="16.28515625" style="10" customWidth="1"/>
    <col min="13" max="13" width="22.28515625" style="10" customWidth="1"/>
    <col min="14" max="14" width="19.85546875" style="10" customWidth="1"/>
    <col min="15" max="15" width="35.85546875" style="10" customWidth="1"/>
    <col min="16" max="16" width="31.28515625" style="10" customWidth="1"/>
    <col min="17" max="16384" width="11.42578125" style="10"/>
  </cols>
  <sheetData>
    <row r="1" spans="1:16" ht="99.95" customHeight="1" x14ac:dyDescent="0.25"/>
    <row r="2" spans="1:16" ht="44.1" customHeight="1" x14ac:dyDescent="0.25">
      <c r="A2" s="9"/>
      <c r="B2" s="9"/>
      <c r="C2" s="9"/>
      <c r="D2" s="9"/>
      <c r="E2" s="9"/>
      <c r="F2" s="9"/>
      <c r="G2" s="9"/>
      <c r="H2" s="9"/>
      <c r="I2" s="9"/>
      <c r="J2" s="9"/>
      <c r="K2" s="9"/>
      <c r="L2" s="9"/>
      <c r="M2" s="9"/>
      <c r="N2" s="9"/>
      <c r="O2" s="9"/>
      <c r="P2" s="9"/>
    </row>
    <row r="3" spans="1:16" ht="44.1" customHeight="1" x14ac:dyDescent="0.25">
      <c r="A3" s="9"/>
      <c r="B3" s="9"/>
      <c r="C3" s="9"/>
      <c r="D3" s="9"/>
      <c r="E3" s="9"/>
      <c r="F3" s="9"/>
      <c r="G3" s="9"/>
      <c r="H3" s="9"/>
      <c r="I3" s="9"/>
      <c r="J3" s="9"/>
      <c r="K3" s="9"/>
      <c r="L3" s="9"/>
      <c r="M3" s="9"/>
      <c r="N3" s="9"/>
      <c r="O3" s="9"/>
      <c r="P3" s="9"/>
    </row>
    <row r="4" spans="1:16" ht="44.1" customHeight="1" x14ac:dyDescent="0.25">
      <c r="A4" s="9"/>
      <c r="B4" s="9"/>
      <c r="C4" s="9"/>
      <c r="D4" s="9"/>
      <c r="E4" s="9"/>
      <c r="F4" s="9"/>
      <c r="G4" s="9"/>
      <c r="H4" s="9"/>
      <c r="I4" s="9"/>
      <c r="J4" s="9"/>
      <c r="K4" s="9"/>
      <c r="L4" s="9"/>
      <c r="M4" s="9"/>
      <c r="N4" s="9"/>
      <c r="O4" s="9"/>
      <c r="P4" s="9"/>
    </row>
    <row r="5" spans="1:16" ht="44.1" customHeight="1" thickBot="1" x14ac:dyDescent="0.3">
      <c r="A5" s="9"/>
      <c r="B5" s="9"/>
      <c r="C5" s="9"/>
      <c r="D5" s="9"/>
      <c r="E5" s="9"/>
      <c r="F5" s="9"/>
      <c r="G5" s="9"/>
      <c r="H5" s="9"/>
      <c r="I5" s="9"/>
      <c r="J5" s="9"/>
      <c r="K5" s="9"/>
      <c r="L5" s="9"/>
      <c r="M5" s="9"/>
      <c r="N5" s="9"/>
      <c r="O5" s="9"/>
      <c r="P5" s="9"/>
    </row>
    <row r="6" spans="1:16" s="11" customFormat="1" ht="44.1" customHeight="1" thickBot="1" x14ac:dyDescent="0.3">
      <c r="A6" s="237" t="s">
        <v>18</v>
      </c>
      <c r="B6" s="238"/>
      <c r="C6" s="238"/>
      <c r="D6" s="238"/>
      <c r="E6" s="238"/>
      <c r="F6" s="238"/>
      <c r="G6" s="238"/>
      <c r="H6" s="238"/>
      <c r="I6" s="238"/>
      <c r="J6" s="238"/>
      <c r="K6" s="238"/>
      <c r="L6" s="238"/>
      <c r="M6" s="238"/>
      <c r="N6" s="238"/>
      <c r="O6" s="238"/>
      <c r="P6" s="239"/>
    </row>
    <row r="7" spans="1:16" s="11" customFormat="1" ht="99.95" customHeight="1" thickBot="1" x14ac:dyDescent="0.3">
      <c r="A7" s="234" t="s">
        <v>85</v>
      </c>
      <c r="B7" s="235"/>
      <c r="C7" s="235"/>
      <c r="D7" s="235"/>
      <c r="E7" s="235"/>
      <c r="F7" s="235"/>
      <c r="G7" s="235"/>
      <c r="H7" s="235"/>
      <c r="I7" s="235"/>
      <c r="J7" s="235"/>
      <c r="K7" s="235"/>
      <c r="L7" s="235"/>
      <c r="M7" s="235"/>
      <c r="N7" s="235"/>
      <c r="O7" s="235"/>
      <c r="P7" s="236"/>
    </row>
    <row r="8" spans="1:16" ht="27" thickBot="1" x14ac:dyDescent="0.3">
      <c r="A8" s="241" t="str">
        <f>+IF(Presentación!B1="","-","Informe de Ejecución del "&amp;Presentación!B1&amp;" del POA 2021 del INESPRE")</f>
        <v>Informe de Ejecución del Cuarto Trimestre del POA 2021 del INESPRE</v>
      </c>
      <c r="B8" s="241"/>
      <c r="C8" s="241"/>
      <c r="D8" s="241"/>
      <c r="E8" s="241"/>
      <c r="F8" s="241"/>
      <c r="G8" s="241"/>
      <c r="H8" s="241"/>
      <c r="I8" s="241"/>
      <c r="J8" s="241"/>
      <c r="K8" s="241"/>
      <c r="L8" s="241"/>
      <c r="M8" s="241"/>
      <c r="N8" s="241"/>
      <c r="O8" s="241"/>
      <c r="P8" s="242"/>
    </row>
    <row r="9" spans="1:16" s="12" customFormat="1" ht="23.25" customHeight="1" x14ac:dyDescent="0.25">
      <c r="A9" s="243" t="s">
        <v>94</v>
      </c>
      <c r="B9" s="244"/>
      <c r="C9" s="244"/>
      <c r="D9" s="244"/>
      <c r="E9" s="244"/>
      <c r="F9" s="244"/>
      <c r="G9" s="244"/>
      <c r="H9" s="244"/>
      <c r="I9" s="244"/>
      <c r="J9" s="244"/>
      <c r="K9" s="244"/>
      <c r="L9" s="244"/>
      <c r="M9" s="244"/>
      <c r="N9" s="244"/>
      <c r="O9" s="244"/>
      <c r="P9" s="245"/>
    </row>
    <row r="10" spans="1:16" s="12" customFormat="1" ht="20.100000000000001" customHeight="1" x14ac:dyDescent="0.25">
      <c r="A10" s="246" t="s">
        <v>19</v>
      </c>
      <c r="B10" s="230"/>
      <c r="C10" s="230"/>
      <c r="D10" s="230"/>
      <c r="E10" s="230"/>
      <c r="F10" s="230"/>
      <c r="G10" s="230"/>
      <c r="H10" s="230"/>
      <c r="I10" s="230"/>
      <c r="J10" s="230"/>
      <c r="K10" s="230"/>
      <c r="L10" s="230"/>
      <c r="M10" s="230"/>
      <c r="N10" s="230"/>
      <c r="O10" s="230"/>
      <c r="P10" s="231"/>
    </row>
    <row r="11" spans="1:16" s="12" customFormat="1" ht="20.100000000000001" customHeight="1" x14ac:dyDescent="0.25">
      <c r="A11" s="247"/>
      <c r="B11" s="248"/>
      <c r="C11" s="248"/>
      <c r="D11" s="248"/>
      <c r="E11" s="248"/>
      <c r="F11" s="248"/>
      <c r="G11" s="248"/>
      <c r="H11" s="248"/>
      <c r="I11" s="248"/>
      <c r="J11" s="248"/>
      <c r="K11" s="248"/>
      <c r="L11" s="248"/>
      <c r="M11" s="248"/>
      <c r="N11" s="248"/>
      <c r="O11" s="248"/>
      <c r="P11" s="249"/>
    </row>
    <row r="12" spans="1:16" s="12" customFormat="1" ht="14.45" customHeight="1" x14ac:dyDescent="0.25">
      <c r="A12" s="230" t="s">
        <v>93</v>
      </c>
      <c r="B12" s="230"/>
      <c r="C12" s="230"/>
      <c r="D12" s="230"/>
      <c r="E12" s="230"/>
      <c r="F12" s="230"/>
      <c r="G12" s="230"/>
      <c r="H12" s="230"/>
      <c r="I12" s="230"/>
      <c r="J12" s="230"/>
      <c r="K12" s="230"/>
      <c r="L12" s="230"/>
      <c r="M12" s="230"/>
      <c r="N12" s="230"/>
      <c r="O12" s="230"/>
      <c r="P12" s="231"/>
    </row>
    <row r="13" spans="1:16" s="12" customFormat="1" ht="15" customHeight="1" thickBot="1" x14ac:dyDescent="0.3">
      <c r="A13" s="232"/>
      <c r="B13" s="232"/>
      <c r="C13" s="232"/>
      <c r="D13" s="232"/>
      <c r="E13" s="232"/>
      <c r="F13" s="232"/>
      <c r="G13" s="232"/>
      <c r="H13" s="232"/>
      <c r="I13" s="232"/>
      <c r="J13" s="232"/>
      <c r="K13" s="232"/>
      <c r="L13" s="232"/>
      <c r="M13" s="232"/>
      <c r="N13" s="232"/>
      <c r="O13" s="232"/>
      <c r="P13" s="233"/>
    </row>
    <row r="14" spans="1:16" ht="47.25" customHeight="1" thickBot="1" x14ac:dyDescent="0.3">
      <c r="A14" s="226" t="s">
        <v>20</v>
      </c>
      <c r="B14" s="226" t="s">
        <v>21</v>
      </c>
      <c r="C14" s="226"/>
      <c r="D14" s="226"/>
      <c r="E14" s="226"/>
      <c r="F14" s="226" t="s">
        <v>22</v>
      </c>
      <c r="G14" s="227" t="str">
        <f>+IF(Presentación!B1="","-","Ejecución del "&amp;Presentación!B1)</f>
        <v>Ejecución del Cuarto Trimestre</v>
      </c>
      <c r="H14" s="228"/>
      <c r="I14" s="228"/>
      <c r="J14" s="228"/>
      <c r="K14" s="228"/>
      <c r="L14" s="229"/>
      <c r="M14" s="226" t="s">
        <v>23</v>
      </c>
      <c r="N14" s="226" t="s">
        <v>24</v>
      </c>
      <c r="O14" s="226" t="s">
        <v>25</v>
      </c>
      <c r="P14" s="226" t="s">
        <v>26</v>
      </c>
    </row>
    <row r="15" spans="1:16" s="12" customFormat="1" ht="63" customHeight="1" thickBot="1" x14ac:dyDescent="0.3">
      <c r="A15" s="226"/>
      <c r="B15" s="17" t="s">
        <v>27</v>
      </c>
      <c r="C15" s="17" t="s">
        <v>28</v>
      </c>
      <c r="D15" s="17" t="s">
        <v>29</v>
      </c>
      <c r="E15" s="17" t="s">
        <v>30</v>
      </c>
      <c r="F15" s="226"/>
      <c r="G15" s="18" t="str">
        <f>+IF(Presentación!B1="","-",IF(Presentación!B1="Primer Trimestre","Enero",IF(Presentación!B1="Segundo Trimestre","Abril",IF(Presentación!B1="Tercer Trimestre","Julio",IF(Presentación!B1="Cuarto Trimestre","Octubre")))))</f>
        <v>Octubre</v>
      </c>
      <c r="H15" s="18" t="str">
        <f>+IF(Presentación!B1="","-",IF(Presentación!B1="Primer Trimestre","Febrero",IF(Presentación!B1="Segundo Trimestre","Mayo",IF(Presentación!B1="Tercer Trimestre","Agosto",IF(Presentación!B1="Cuarto Trimestre","Noviembre")))))</f>
        <v>Noviembre</v>
      </c>
      <c r="I15" s="18" t="str">
        <f>+IF(Presentación!B1="","-",IF(Presentación!B1="Primer Trimestre","Marzo",IF(Presentación!B1="Segundo Trimestre","Junio",IF(Presentación!B1="Tercer Trimestre","Septiembre",IF(Presentación!B1="Cuarto Trimestre","Diciembre")))))</f>
        <v>Diciembre</v>
      </c>
      <c r="J15" s="18" t="s">
        <v>31</v>
      </c>
      <c r="K15" s="18" t="s">
        <v>32</v>
      </c>
      <c r="L15" s="18" t="s">
        <v>33</v>
      </c>
      <c r="M15" s="226"/>
      <c r="N15" s="226"/>
      <c r="O15" s="226"/>
      <c r="P15" s="226"/>
    </row>
    <row r="16" spans="1:16" ht="99.95" customHeight="1" thickBot="1" x14ac:dyDescent="0.3">
      <c r="A16" s="297" t="s">
        <v>355</v>
      </c>
      <c r="B16" s="19" t="s">
        <v>356</v>
      </c>
      <c r="C16" s="19" t="s">
        <v>357</v>
      </c>
      <c r="D16" s="20">
        <v>226</v>
      </c>
      <c r="E16" s="23" t="s">
        <v>37</v>
      </c>
      <c r="F16" s="80" t="s">
        <v>358</v>
      </c>
      <c r="G16" s="155">
        <v>33</v>
      </c>
      <c r="H16" s="155">
        <v>44</v>
      </c>
      <c r="I16" s="155">
        <v>25</v>
      </c>
      <c r="J16" s="156">
        <f>+SUM(G16:I16)</f>
        <v>102</v>
      </c>
      <c r="K16" s="13">
        <f>+IFERROR(J16/D16,"-")</f>
        <v>0.45132743362831856</v>
      </c>
      <c r="L16" s="13">
        <f>+K16+106.194690265487%</f>
        <v>1.5132743362831886</v>
      </c>
      <c r="M16" s="19" t="s">
        <v>419</v>
      </c>
      <c r="N16" s="19" t="s">
        <v>112</v>
      </c>
      <c r="O16" s="90" t="s">
        <v>420</v>
      </c>
      <c r="P16" s="93"/>
    </row>
    <row r="17" spans="1:16" ht="99.95" customHeight="1" thickBot="1" x14ac:dyDescent="0.3">
      <c r="A17" s="297"/>
      <c r="B17" s="19" t="s">
        <v>359</v>
      </c>
      <c r="C17" s="19" t="s">
        <v>360</v>
      </c>
      <c r="D17" s="22">
        <v>16</v>
      </c>
      <c r="E17" s="23" t="s">
        <v>60</v>
      </c>
      <c r="F17" s="80" t="s">
        <v>361</v>
      </c>
      <c r="G17" s="155">
        <v>0</v>
      </c>
      <c r="H17" s="155">
        <v>1</v>
      </c>
      <c r="I17" s="155">
        <v>0</v>
      </c>
      <c r="J17" s="156">
        <f t="shared" ref="J17:J35" si="0">+SUM(G17:I17)</f>
        <v>1</v>
      </c>
      <c r="K17" s="13">
        <f t="shared" ref="K17:K34" si="1">+IFERROR(J17/D17,"-")</f>
        <v>6.25E-2</v>
      </c>
      <c r="L17" s="13">
        <f>+K17+100%</f>
        <v>1.0625</v>
      </c>
      <c r="M17" s="19" t="s">
        <v>421</v>
      </c>
      <c r="N17" s="84" t="s">
        <v>422</v>
      </c>
      <c r="O17" s="90" t="s">
        <v>423</v>
      </c>
      <c r="P17" s="93"/>
    </row>
    <row r="18" spans="1:16" ht="116.25" customHeight="1" thickBot="1" x14ac:dyDescent="0.3">
      <c r="A18" s="297"/>
      <c r="B18" s="19" t="s">
        <v>362</v>
      </c>
      <c r="C18" s="19" t="s">
        <v>363</v>
      </c>
      <c r="D18" s="24">
        <v>24</v>
      </c>
      <c r="E18" s="23" t="s">
        <v>364</v>
      </c>
      <c r="F18" s="80" t="s">
        <v>365</v>
      </c>
      <c r="G18" s="155">
        <v>5</v>
      </c>
      <c r="H18" s="155">
        <v>15</v>
      </c>
      <c r="I18" s="155">
        <v>12</v>
      </c>
      <c r="J18" s="156">
        <f t="shared" si="0"/>
        <v>32</v>
      </c>
      <c r="K18" s="13">
        <f t="shared" si="1"/>
        <v>1.3333333333333333</v>
      </c>
      <c r="L18" s="13">
        <f>+K18+112.5%</f>
        <v>2.458333333333333</v>
      </c>
      <c r="M18" s="19" t="s">
        <v>421</v>
      </c>
      <c r="N18" s="84" t="s">
        <v>424</v>
      </c>
      <c r="O18" s="90" t="s">
        <v>425</v>
      </c>
      <c r="P18" s="93"/>
    </row>
    <row r="19" spans="1:16" ht="99.95" customHeight="1" thickBot="1" x14ac:dyDescent="0.3">
      <c r="A19" s="297"/>
      <c r="B19" s="19" t="s">
        <v>366</v>
      </c>
      <c r="C19" s="19" t="s">
        <v>367</v>
      </c>
      <c r="D19" s="25">
        <v>128</v>
      </c>
      <c r="E19" s="23" t="s">
        <v>60</v>
      </c>
      <c r="F19" s="80" t="s">
        <v>368</v>
      </c>
      <c r="G19" s="155">
        <v>0</v>
      </c>
      <c r="H19" s="155">
        <v>45</v>
      </c>
      <c r="I19" s="155">
        <v>47</v>
      </c>
      <c r="J19" s="156">
        <f t="shared" si="0"/>
        <v>92</v>
      </c>
      <c r="K19" s="13">
        <f t="shared" si="1"/>
        <v>0.71875</v>
      </c>
      <c r="L19" s="13">
        <f>+K19+33.59375%</f>
        <v>1.0546875</v>
      </c>
      <c r="M19" s="19" t="s">
        <v>421</v>
      </c>
      <c r="N19" s="84" t="s">
        <v>422</v>
      </c>
      <c r="O19" s="90" t="s">
        <v>426</v>
      </c>
      <c r="P19" s="93"/>
    </row>
    <row r="20" spans="1:16" ht="99.95" customHeight="1" thickBot="1" x14ac:dyDescent="0.3">
      <c r="A20" s="297"/>
      <c r="B20" s="19" t="s">
        <v>369</v>
      </c>
      <c r="C20" s="19" t="s">
        <v>370</v>
      </c>
      <c r="D20" s="24">
        <v>27</v>
      </c>
      <c r="E20" s="23" t="s">
        <v>37</v>
      </c>
      <c r="F20" s="80" t="s">
        <v>371</v>
      </c>
      <c r="G20" s="155">
        <v>4</v>
      </c>
      <c r="H20" s="155">
        <v>15</v>
      </c>
      <c r="I20" s="155">
        <v>15</v>
      </c>
      <c r="J20" s="156">
        <f t="shared" si="0"/>
        <v>34</v>
      </c>
      <c r="K20" s="13">
        <f t="shared" si="1"/>
        <v>1.2592592592592593</v>
      </c>
      <c r="L20" s="13">
        <f>+K20+59.2592592592592%</f>
        <v>1.8518518518518512</v>
      </c>
      <c r="M20" s="19" t="s">
        <v>421</v>
      </c>
      <c r="N20" s="84" t="s">
        <v>427</v>
      </c>
      <c r="O20" s="90" t="s">
        <v>428</v>
      </c>
      <c r="P20" s="93"/>
    </row>
    <row r="21" spans="1:16" ht="99.95" customHeight="1" thickBot="1" x14ac:dyDescent="0.3">
      <c r="A21" s="19" t="s">
        <v>372</v>
      </c>
      <c r="B21" s="19" t="s">
        <v>373</v>
      </c>
      <c r="C21" s="19" t="s">
        <v>374</v>
      </c>
      <c r="D21" s="20">
        <v>300</v>
      </c>
      <c r="E21" s="23" t="s">
        <v>37</v>
      </c>
      <c r="F21" s="80" t="s">
        <v>375</v>
      </c>
      <c r="G21" s="155">
        <v>50</v>
      </c>
      <c r="H21" s="155">
        <v>50</v>
      </c>
      <c r="I21" s="155">
        <v>91</v>
      </c>
      <c r="J21" s="156">
        <f t="shared" si="0"/>
        <v>191</v>
      </c>
      <c r="K21" s="13">
        <f t="shared" si="1"/>
        <v>0.63666666666666671</v>
      </c>
      <c r="L21" s="13">
        <f>+K21+90.6666666666667%</f>
        <v>1.5433333333333337</v>
      </c>
      <c r="M21" s="19" t="s">
        <v>421</v>
      </c>
      <c r="N21" s="84" t="s">
        <v>429</v>
      </c>
      <c r="O21" s="90" t="s">
        <v>430</v>
      </c>
      <c r="P21" s="93"/>
    </row>
    <row r="22" spans="1:16" ht="99.95" customHeight="1" thickBot="1" x14ac:dyDescent="0.3">
      <c r="A22" s="297" t="s">
        <v>376</v>
      </c>
      <c r="B22" s="19" t="s">
        <v>377</v>
      </c>
      <c r="C22" s="19" t="s">
        <v>378</v>
      </c>
      <c r="D22" s="20">
        <v>174</v>
      </c>
      <c r="E22" s="23" t="s">
        <v>37</v>
      </c>
      <c r="F22" s="80" t="s">
        <v>379</v>
      </c>
      <c r="G22" s="155">
        <v>16</v>
      </c>
      <c r="H22" s="155">
        <v>66</v>
      </c>
      <c r="I22" s="155">
        <v>66</v>
      </c>
      <c r="J22" s="156">
        <f t="shared" si="0"/>
        <v>148</v>
      </c>
      <c r="K22" s="13">
        <f t="shared" si="1"/>
        <v>0.85057471264367812</v>
      </c>
      <c r="L22" s="13">
        <f>+K22+34.4827586206896%</f>
        <v>1.1954022988505741</v>
      </c>
      <c r="M22" s="19" t="s">
        <v>421</v>
      </c>
      <c r="N22" s="84" t="s">
        <v>900</v>
      </c>
      <c r="O22" s="90" t="s">
        <v>431</v>
      </c>
      <c r="P22" s="93"/>
    </row>
    <row r="23" spans="1:16" ht="99.95" customHeight="1" thickBot="1" x14ac:dyDescent="0.3">
      <c r="A23" s="297"/>
      <c r="B23" s="19" t="s">
        <v>380</v>
      </c>
      <c r="C23" s="19" t="s">
        <v>378</v>
      </c>
      <c r="D23" s="22">
        <v>232</v>
      </c>
      <c r="E23" s="23" t="s">
        <v>37</v>
      </c>
      <c r="F23" s="80" t="s">
        <v>381</v>
      </c>
      <c r="G23" s="155">
        <v>57</v>
      </c>
      <c r="H23" s="155">
        <v>70</v>
      </c>
      <c r="I23" s="155">
        <v>49</v>
      </c>
      <c r="J23" s="156">
        <f t="shared" si="0"/>
        <v>176</v>
      </c>
      <c r="K23" s="13">
        <f t="shared" si="1"/>
        <v>0.75862068965517238</v>
      </c>
      <c r="L23" s="13">
        <f>+K23+153.879310344828%</f>
        <v>2.2974137931034528</v>
      </c>
      <c r="M23" s="19" t="s">
        <v>421</v>
      </c>
      <c r="N23" s="19" t="s">
        <v>112</v>
      </c>
      <c r="O23" s="90" t="s">
        <v>432</v>
      </c>
      <c r="P23" s="93"/>
    </row>
    <row r="24" spans="1:16" ht="99.95" customHeight="1" thickBot="1" x14ac:dyDescent="0.3">
      <c r="A24" s="297"/>
      <c r="B24" s="19" t="s">
        <v>382</v>
      </c>
      <c r="C24" s="19" t="s">
        <v>383</v>
      </c>
      <c r="D24" s="24">
        <v>4002</v>
      </c>
      <c r="E24" s="23" t="s">
        <v>37</v>
      </c>
      <c r="F24" s="80" t="s">
        <v>384</v>
      </c>
      <c r="G24" s="155">
        <v>652</v>
      </c>
      <c r="H24" s="155">
        <v>531</v>
      </c>
      <c r="I24" s="155">
        <v>459</v>
      </c>
      <c r="J24" s="156">
        <f t="shared" si="0"/>
        <v>1642</v>
      </c>
      <c r="K24" s="13">
        <f t="shared" si="1"/>
        <v>0.41029485257371312</v>
      </c>
      <c r="L24" s="13">
        <f>+K24+93.7531234382809%</f>
        <v>1.347826086956522</v>
      </c>
      <c r="M24" s="19" t="s">
        <v>421</v>
      </c>
      <c r="N24" s="19" t="s">
        <v>112</v>
      </c>
      <c r="O24" s="90" t="s">
        <v>433</v>
      </c>
      <c r="P24" s="93"/>
    </row>
    <row r="25" spans="1:16" ht="99.95" customHeight="1" thickBot="1" x14ac:dyDescent="0.3">
      <c r="A25" s="297" t="s">
        <v>385</v>
      </c>
      <c r="B25" s="19" t="s">
        <v>386</v>
      </c>
      <c r="C25" s="19" t="s">
        <v>387</v>
      </c>
      <c r="D25" s="24">
        <v>3250</v>
      </c>
      <c r="E25" s="23" t="s">
        <v>37</v>
      </c>
      <c r="F25" s="80" t="s">
        <v>388</v>
      </c>
      <c r="G25" s="155">
        <v>412</v>
      </c>
      <c r="H25" s="155">
        <v>511</v>
      </c>
      <c r="I25" s="155">
        <v>358</v>
      </c>
      <c r="J25" s="156">
        <f t="shared" si="0"/>
        <v>1281</v>
      </c>
      <c r="K25" s="13">
        <f t="shared" si="1"/>
        <v>0.39415384615384613</v>
      </c>
      <c r="L25" s="13">
        <f>+K25+97.3846153846154%</f>
        <v>1.3680000000000001</v>
      </c>
      <c r="M25" s="19" t="s">
        <v>421</v>
      </c>
      <c r="N25" s="19" t="s">
        <v>112</v>
      </c>
      <c r="O25" s="90" t="s">
        <v>434</v>
      </c>
      <c r="P25" s="93"/>
    </row>
    <row r="26" spans="1:16" ht="99.95" customHeight="1" thickBot="1" x14ac:dyDescent="0.3">
      <c r="A26" s="297"/>
      <c r="B26" s="19" t="s">
        <v>389</v>
      </c>
      <c r="C26" s="19" t="s">
        <v>390</v>
      </c>
      <c r="D26" s="24">
        <v>128</v>
      </c>
      <c r="E26" s="23" t="s">
        <v>37</v>
      </c>
      <c r="F26" s="80" t="s">
        <v>391</v>
      </c>
      <c r="G26" s="155">
        <v>24</v>
      </c>
      <c r="H26" s="155">
        <v>21</v>
      </c>
      <c r="I26" s="155">
        <v>10</v>
      </c>
      <c r="J26" s="156">
        <f t="shared" si="0"/>
        <v>55</v>
      </c>
      <c r="K26" s="13">
        <f t="shared" si="1"/>
        <v>0.4296875</v>
      </c>
      <c r="L26" s="13">
        <f>+K26+145.3125%</f>
        <v>1.8828125</v>
      </c>
      <c r="M26" s="19" t="s">
        <v>421</v>
      </c>
      <c r="N26" s="19" t="s">
        <v>112</v>
      </c>
      <c r="O26" s="90" t="s">
        <v>901</v>
      </c>
      <c r="P26" s="93"/>
    </row>
    <row r="27" spans="1:16" ht="99.95" customHeight="1" thickBot="1" x14ac:dyDescent="0.3">
      <c r="A27" s="297"/>
      <c r="B27" s="19" t="s">
        <v>392</v>
      </c>
      <c r="C27" s="19" t="s">
        <v>393</v>
      </c>
      <c r="D27" s="24">
        <v>24</v>
      </c>
      <c r="E27" s="23" t="s">
        <v>60</v>
      </c>
      <c r="F27" s="60" t="s">
        <v>394</v>
      </c>
      <c r="G27" s="155">
        <v>1</v>
      </c>
      <c r="H27" s="155">
        <v>24</v>
      </c>
      <c r="I27" s="155">
        <v>24</v>
      </c>
      <c r="J27" s="156">
        <f t="shared" si="0"/>
        <v>49</v>
      </c>
      <c r="K27" s="13">
        <f t="shared" si="1"/>
        <v>2.0416666666666665</v>
      </c>
      <c r="L27" s="13">
        <f>+K27+16.6666666666667%</f>
        <v>2.2083333333333335</v>
      </c>
      <c r="M27" s="19" t="s">
        <v>421</v>
      </c>
      <c r="N27" s="19" t="s">
        <v>112</v>
      </c>
      <c r="O27" s="90" t="s">
        <v>902</v>
      </c>
      <c r="P27" s="93"/>
    </row>
    <row r="28" spans="1:16" ht="120" customHeight="1" thickBot="1" x14ac:dyDescent="0.3">
      <c r="A28" s="19" t="s">
        <v>395</v>
      </c>
      <c r="B28" s="26" t="s">
        <v>396</v>
      </c>
      <c r="C28" s="19" t="s">
        <v>397</v>
      </c>
      <c r="D28" s="24">
        <v>250</v>
      </c>
      <c r="E28" s="23" t="s">
        <v>60</v>
      </c>
      <c r="F28" s="60" t="s">
        <v>398</v>
      </c>
      <c r="G28" s="155">
        <v>8</v>
      </c>
      <c r="H28" s="155">
        <v>192</v>
      </c>
      <c r="I28" s="155">
        <v>190</v>
      </c>
      <c r="J28" s="156">
        <f t="shared" si="0"/>
        <v>390</v>
      </c>
      <c r="K28" s="13">
        <f t="shared" si="1"/>
        <v>1.56</v>
      </c>
      <c r="L28" s="13">
        <f>+K28+34.8%</f>
        <v>1.9079999999999999</v>
      </c>
      <c r="M28" s="19" t="s">
        <v>421</v>
      </c>
      <c r="N28" s="84" t="s">
        <v>424</v>
      </c>
      <c r="O28" s="90" t="s">
        <v>435</v>
      </c>
      <c r="P28" s="93"/>
    </row>
    <row r="29" spans="1:16" ht="141" customHeight="1" thickBot="1" x14ac:dyDescent="0.3">
      <c r="A29" s="19" t="s">
        <v>399</v>
      </c>
      <c r="B29" s="26" t="s">
        <v>400</v>
      </c>
      <c r="C29" s="19" t="s">
        <v>401</v>
      </c>
      <c r="D29" s="25">
        <v>1</v>
      </c>
      <c r="E29" s="23" t="s">
        <v>37</v>
      </c>
      <c r="F29" s="81" t="s">
        <v>402</v>
      </c>
      <c r="G29" s="155">
        <v>0</v>
      </c>
      <c r="H29" s="155">
        <v>0</v>
      </c>
      <c r="I29" s="155">
        <v>0</v>
      </c>
      <c r="J29" s="156">
        <f t="shared" si="0"/>
        <v>0</v>
      </c>
      <c r="K29" s="13">
        <f t="shared" si="1"/>
        <v>0</v>
      </c>
      <c r="L29" s="13">
        <f>+K29+200%</f>
        <v>2</v>
      </c>
      <c r="M29" s="19" t="s">
        <v>421</v>
      </c>
      <c r="N29" s="84" t="s">
        <v>436</v>
      </c>
      <c r="O29" s="90" t="s">
        <v>437</v>
      </c>
      <c r="P29" s="93"/>
    </row>
    <row r="30" spans="1:16" ht="99.95" customHeight="1" thickBot="1" x14ac:dyDescent="0.3">
      <c r="A30" s="26" t="s">
        <v>403</v>
      </c>
      <c r="B30" s="26" t="s">
        <v>404</v>
      </c>
      <c r="C30" s="26" t="s">
        <v>405</v>
      </c>
      <c r="D30" s="25">
        <v>532</v>
      </c>
      <c r="E30" s="23" t="s">
        <v>37</v>
      </c>
      <c r="F30" s="82" t="s">
        <v>406</v>
      </c>
      <c r="G30" s="155">
        <v>42</v>
      </c>
      <c r="H30" s="155">
        <v>242</v>
      </c>
      <c r="I30" s="155">
        <v>264</v>
      </c>
      <c r="J30" s="156">
        <f t="shared" si="0"/>
        <v>548</v>
      </c>
      <c r="K30" s="13">
        <f t="shared" si="1"/>
        <v>1.0300751879699248</v>
      </c>
      <c r="L30" s="13">
        <f>+K30+34.5864661654136%</f>
        <v>1.3759398496240607</v>
      </c>
      <c r="M30" s="19" t="s">
        <v>421</v>
      </c>
      <c r="N30" s="85" t="s">
        <v>112</v>
      </c>
      <c r="O30" s="91" t="s">
        <v>438</v>
      </c>
      <c r="P30" s="94"/>
    </row>
    <row r="31" spans="1:16" ht="99.95" customHeight="1" thickBot="1" x14ac:dyDescent="0.3">
      <c r="A31" s="26" t="s">
        <v>407</v>
      </c>
      <c r="B31" s="26" t="s">
        <v>408</v>
      </c>
      <c r="C31" s="26" t="s">
        <v>409</v>
      </c>
      <c r="D31" s="25">
        <v>4</v>
      </c>
      <c r="E31" s="23" t="s">
        <v>37</v>
      </c>
      <c r="F31" s="82" t="s">
        <v>410</v>
      </c>
      <c r="G31" s="155">
        <v>1</v>
      </c>
      <c r="H31" s="155">
        <v>1</v>
      </c>
      <c r="I31" s="155">
        <v>1</v>
      </c>
      <c r="J31" s="156">
        <f t="shared" si="0"/>
        <v>3</v>
      </c>
      <c r="K31" s="13">
        <f t="shared" si="1"/>
        <v>0.75</v>
      </c>
      <c r="L31" s="13">
        <f>+K31+150%</f>
        <v>2.25</v>
      </c>
      <c r="M31" s="19" t="s">
        <v>421</v>
      </c>
      <c r="N31" s="26" t="s">
        <v>112</v>
      </c>
      <c r="O31" s="91" t="s">
        <v>439</v>
      </c>
      <c r="P31" s="94"/>
    </row>
    <row r="32" spans="1:16" ht="99.95" customHeight="1" thickBot="1" x14ac:dyDescent="0.3">
      <c r="A32" s="26" t="s">
        <v>411</v>
      </c>
      <c r="B32" s="26" t="s">
        <v>412</v>
      </c>
      <c r="C32" s="26" t="s">
        <v>413</v>
      </c>
      <c r="D32" s="25">
        <v>60</v>
      </c>
      <c r="E32" s="23" t="s">
        <v>37</v>
      </c>
      <c r="F32" s="82" t="s">
        <v>414</v>
      </c>
      <c r="G32" s="155">
        <v>20</v>
      </c>
      <c r="H32" s="155">
        <v>50</v>
      </c>
      <c r="I32" s="155">
        <v>40</v>
      </c>
      <c r="J32" s="156">
        <f t="shared" si="0"/>
        <v>110</v>
      </c>
      <c r="K32" s="13">
        <f t="shared" si="1"/>
        <v>1.8333333333333333</v>
      </c>
      <c r="L32" s="13">
        <f>+K32+98.3333333333333%</f>
        <v>2.8166666666666664</v>
      </c>
      <c r="M32" s="19" t="s">
        <v>421</v>
      </c>
      <c r="N32" s="64" t="s">
        <v>440</v>
      </c>
      <c r="O32" s="91" t="s">
        <v>441</v>
      </c>
      <c r="P32" s="94"/>
    </row>
    <row r="33" spans="1:16" ht="99.95" customHeight="1" thickBot="1" x14ac:dyDescent="0.3">
      <c r="A33" s="26" t="s">
        <v>415</v>
      </c>
      <c r="B33" s="26" t="s">
        <v>416</v>
      </c>
      <c r="C33" s="26" t="s">
        <v>417</v>
      </c>
      <c r="D33" s="25">
        <v>24</v>
      </c>
      <c r="E33" s="23" t="s">
        <v>37</v>
      </c>
      <c r="F33" s="82" t="s">
        <v>418</v>
      </c>
      <c r="G33" s="155">
        <v>1</v>
      </c>
      <c r="H33" s="155">
        <v>1</v>
      </c>
      <c r="I33" s="155">
        <v>6</v>
      </c>
      <c r="J33" s="156">
        <f t="shared" si="0"/>
        <v>8</v>
      </c>
      <c r="K33" s="13">
        <f t="shared" si="1"/>
        <v>0.33333333333333331</v>
      </c>
      <c r="L33" s="13">
        <f>+K33+62.5%</f>
        <v>0.95833333333333326</v>
      </c>
      <c r="M33" s="19" t="s">
        <v>421</v>
      </c>
      <c r="N33" s="85" t="s">
        <v>112</v>
      </c>
      <c r="O33" s="91" t="s">
        <v>442</v>
      </c>
      <c r="P33" s="94"/>
    </row>
    <row r="34" spans="1:16" ht="138" customHeight="1" thickBot="1" x14ac:dyDescent="0.3">
      <c r="A34" s="298" t="s">
        <v>443</v>
      </c>
      <c r="B34" s="86" t="s">
        <v>444</v>
      </c>
      <c r="C34" s="86" t="s">
        <v>445</v>
      </c>
      <c r="D34" s="20">
        <v>30</v>
      </c>
      <c r="E34" s="87" t="s">
        <v>37</v>
      </c>
      <c r="F34" s="88" t="s">
        <v>446</v>
      </c>
      <c r="G34" s="155">
        <v>0</v>
      </c>
      <c r="H34" s="155">
        <v>1</v>
      </c>
      <c r="I34" s="155">
        <v>0</v>
      </c>
      <c r="J34" s="156">
        <f t="shared" si="0"/>
        <v>1</v>
      </c>
      <c r="K34" s="13">
        <f t="shared" si="1"/>
        <v>3.3333333333333333E-2</v>
      </c>
      <c r="L34" s="13">
        <f>+K34+133.333333333333%</f>
        <v>1.3666666666666634</v>
      </c>
      <c r="M34" s="86" t="s">
        <v>457</v>
      </c>
      <c r="N34" s="89" t="s">
        <v>458</v>
      </c>
      <c r="O34" s="92" t="s">
        <v>459</v>
      </c>
      <c r="P34" s="95"/>
    </row>
    <row r="35" spans="1:16" ht="139.5" customHeight="1" thickBot="1" x14ac:dyDescent="0.3">
      <c r="A35" s="298"/>
      <c r="B35" s="86" t="s">
        <v>447</v>
      </c>
      <c r="C35" s="86" t="s">
        <v>448</v>
      </c>
      <c r="D35" s="22">
        <v>56</v>
      </c>
      <c r="E35" s="87" t="s">
        <v>60</v>
      </c>
      <c r="F35" s="88" t="s">
        <v>449</v>
      </c>
      <c r="G35" s="155">
        <v>22</v>
      </c>
      <c r="H35" s="155">
        <v>18</v>
      </c>
      <c r="I35" s="155">
        <v>13</v>
      </c>
      <c r="J35" s="156">
        <f t="shared" si="0"/>
        <v>53</v>
      </c>
      <c r="K35" s="13">
        <f>+IFERROR(J35/D35,"-")</f>
        <v>0.9464285714285714</v>
      </c>
      <c r="L35" s="13">
        <f>+K35+232.142857142858%</f>
        <v>3.2678571428571512</v>
      </c>
      <c r="M35" s="86" t="s">
        <v>457</v>
      </c>
      <c r="N35" s="89" t="s">
        <v>458</v>
      </c>
      <c r="O35" s="92" t="s">
        <v>460</v>
      </c>
      <c r="P35" s="95"/>
    </row>
    <row r="36" spans="1:16" ht="132" customHeight="1" thickBot="1" x14ac:dyDescent="0.3">
      <c r="A36" s="86" t="s">
        <v>450</v>
      </c>
      <c r="B36" s="86" t="s">
        <v>451</v>
      </c>
      <c r="C36" s="86" t="s">
        <v>452</v>
      </c>
      <c r="D36" s="24">
        <v>15</v>
      </c>
      <c r="E36" s="87" t="s">
        <v>37</v>
      </c>
      <c r="F36" s="88" t="s">
        <v>446</v>
      </c>
      <c r="G36" s="155">
        <v>1</v>
      </c>
      <c r="H36" s="155">
        <v>1</v>
      </c>
      <c r="I36" s="155">
        <v>3</v>
      </c>
      <c r="J36" s="156">
        <f t="shared" ref="J36:J37" si="2">+SUM(G36:I36)</f>
        <v>5</v>
      </c>
      <c r="K36" s="13">
        <f t="shared" ref="K36:K37" si="3">+IFERROR(J36/D36,"-")</f>
        <v>0.33333333333333331</v>
      </c>
      <c r="L36" s="13">
        <f>+K36+20%</f>
        <v>0.53333333333333333</v>
      </c>
      <c r="M36" s="86" t="s">
        <v>457</v>
      </c>
      <c r="N36" s="89" t="s">
        <v>458</v>
      </c>
      <c r="O36" s="92" t="s">
        <v>461</v>
      </c>
      <c r="P36" s="95"/>
    </row>
    <row r="37" spans="1:16" ht="118.5" customHeight="1" thickBot="1" x14ac:dyDescent="0.3">
      <c r="A37" s="86" t="s">
        <v>453</v>
      </c>
      <c r="B37" s="86" t="s">
        <v>454</v>
      </c>
      <c r="C37" s="86" t="s">
        <v>455</v>
      </c>
      <c r="D37" s="25">
        <v>96</v>
      </c>
      <c r="E37" s="87" t="s">
        <v>37</v>
      </c>
      <c r="F37" s="88" t="s">
        <v>456</v>
      </c>
      <c r="G37" s="155">
        <v>1</v>
      </c>
      <c r="H37" s="155">
        <v>1</v>
      </c>
      <c r="I37" s="155">
        <v>1</v>
      </c>
      <c r="J37" s="156">
        <f t="shared" si="2"/>
        <v>3</v>
      </c>
      <c r="K37" s="13">
        <f t="shared" si="3"/>
        <v>3.125E-2</v>
      </c>
      <c r="L37" s="13">
        <f>+K37+10.4166666666667%</f>
        <v>0.13541666666666702</v>
      </c>
      <c r="M37" s="86" t="s">
        <v>457</v>
      </c>
      <c r="N37" s="86" t="s">
        <v>112</v>
      </c>
      <c r="O37" s="92" t="s">
        <v>462</v>
      </c>
      <c r="P37" s="95"/>
    </row>
    <row r="38" spans="1:16" x14ac:dyDescent="0.25">
      <c r="A38" s="14"/>
      <c r="B38" s="14"/>
      <c r="C38" s="14"/>
      <c r="D38" s="14"/>
      <c r="E38" s="14"/>
      <c r="F38" s="15"/>
      <c r="G38" s="14"/>
      <c r="H38" s="14"/>
      <c r="I38" s="14"/>
      <c r="J38" s="14"/>
      <c r="K38" s="14"/>
      <c r="L38" s="14"/>
      <c r="M38" s="15"/>
      <c r="N38" s="15"/>
      <c r="O38" s="15"/>
    </row>
    <row r="39" spans="1:16" x14ac:dyDescent="0.25">
      <c r="A39" s="14"/>
      <c r="B39" s="14"/>
      <c r="C39" s="14"/>
      <c r="D39" s="14"/>
      <c r="E39" s="14"/>
      <c r="F39" s="15"/>
      <c r="G39" s="14"/>
      <c r="H39" s="14"/>
      <c r="I39" s="14"/>
      <c r="J39" s="14"/>
      <c r="K39" s="14"/>
      <c r="L39" s="14"/>
      <c r="M39" s="15"/>
      <c r="N39" s="15"/>
      <c r="O39" s="15"/>
    </row>
    <row r="40" spans="1:16" x14ac:dyDescent="0.25">
      <c r="A40" s="15"/>
      <c r="B40" s="15"/>
      <c r="C40" s="15"/>
      <c r="D40" s="15"/>
      <c r="E40" s="15"/>
      <c r="F40" s="15"/>
      <c r="G40" s="15"/>
      <c r="H40" s="15"/>
      <c r="I40" s="15"/>
      <c r="J40" s="15"/>
      <c r="K40" s="15"/>
      <c r="L40" s="15"/>
      <c r="M40" s="15"/>
      <c r="N40" s="15"/>
      <c r="O40" s="15"/>
    </row>
    <row r="41" spans="1:16" x14ac:dyDescent="0.25">
      <c r="A41" s="15"/>
      <c r="B41" s="15"/>
      <c r="C41" s="15"/>
      <c r="D41" s="15"/>
      <c r="E41" s="15"/>
      <c r="F41" s="15"/>
      <c r="G41" s="15"/>
      <c r="H41" s="15"/>
      <c r="I41" s="15"/>
      <c r="J41" s="15"/>
      <c r="K41" s="15"/>
      <c r="L41" s="15"/>
      <c r="M41" s="15"/>
      <c r="N41" s="15"/>
      <c r="O41" s="15"/>
    </row>
    <row r="42" spans="1:16" x14ac:dyDescent="0.25">
      <c r="A42" s="15"/>
      <c r="B42" s="15"/>
      <c r="C42" s="15"/>
      <c r="D42" s="15"/>
      <c r="E42" s="15"/>
      <c r="F42" s="15"/>
      <c r="G42" s="15"/>
      <c r="H42" s="15"/>
      <c r="I42" s="15"/>
      <c r="J42" s="15"/>
      <c r="K42" s="15"/>
      <c r="L42" s="15"/>
      <c r="M42" s="15"/>
      <c r="N42" s="15"/>
      <c r="O42" s="15"/>
    </row>
    <row r="43" spans="1:16" x14ac:dyDescent="0.25">
      <c r="A43" s="15"/>
      <c r="B43" s="15"/>
      <c r="C43" s="15"/>
      <c r="D43" s="15"/>
      <c r="E43" s="15"/>
      <c r="F43" s="15"/>
      <c r="G43" s="15"/>
      <c r="H43" s="15"/>
      <c r="I43" s="15"/>
      <c r="J43" s="15"/>
      <c r="K43" s="15"/>
      <c r="L43" s="15"/>
      <c r="M43" s="15"/>
      <c r="N43" s="15"/>
      <c r="O43" s="15"/>
    </row>
    <row r="44" spans="1:16" x14ac:dyDescent="0.25">
      <c r="A44" s="15"/>
      <c r="B44" s="15"/>
      <c r="C44" s="15"/>
      <c r="D44" s="15"/>
      <c r="E44" s="15"/>
      <c r="F44" s="15"/>
      <c r="G44" s="15"/>
      <c r="H44" s="15"/>
      <c r="I44" s="15"/>
      <c r="J44" s="15"/>
      <c r="K44" s="15"/>
      <c r="L44" s="15"/>
      <c r="M44" s="15"/>
      <c r="N44" s="15"/>
      <c r="O44" s="15"/>
    </row>
    <row r="45" spans="1:16" x14ac:dyDescent="0.25">
      <c r="A45" s="15"/>
      <c r="B45" s="15"/>
      <c r="C45" s="15"/>
      <c r="D45" s="15"/>
      <c r="E45" s="15"/>
      <c r="F45" s="15"/>
      <c r="G45" s="15"/>
      <c r="H45" s="15"/>
      <c r="I45" s="15"/>
      <c r="J45" s="15"/>
      <c r="K45" s="15"/>
      <c r="L45" s="15"/>
      <c r="M45" s="15"/>
      <c r="N45" s="15"/>
      <c r="O45" s="15"/>
    </row>
    <row r="46" spans="1:16" ht="15" customHeight="1" x14ac:dyDescent="0.25">
      <c r="A46" s="277"/>
      <c r="B46" s="277"/>
      <c r="C46" s="277"/>
      <c r="D46" s="277"/>
      <c r="E46" s="277"/>
      <c r="F46" s="277"/>
      <c r="G46" s="277"/>
      <c r="H46" s="277"/>
      <c r="I46" s="277"/>
      <c r="J46" s="277"/>
      <c r="K46" s="16"/>
      <c r="L46" s="16"/>
    </row>
    <row r="47" spans="1:16" x14ac:dyDescent="0.25">
      <c r="A47" s="277"/>
      <c r="B47" s="277"/>
      <c r="C47" s="277"/>
      <c r="D47" s="277"/>
      <c r="E47" s="277"/>
      <c r="F47" s="277"/>
      <c r="G47" s="277"/>
      <c r="H47" s="277"/>
      <c r="I47" s="277"/>
      <c r="J47" s="277"/>
      <c r="K47" s="16"/>
      <c r="L47" s="16"/>
    </row>
  </sheetData>
  <mergeCells count="19">
    <mergeCell ref="A12:P13"/>
    <mergeCell ref="A6:P6"/>
    <mergeCell ref="A7:P7"/>
    <mergeCell ref="A8:P8"/>
    <mergeCell ref="A9:P9"/>
    <mergeCell ref="A10:P11"/>
    <mergeCell ref="O14:O15"/>
    <mergeCell ref="P14:P15"/>
    <mergeCell ref="A46:J47"/>
    <mergeCell ref="A16:A20"/>
    <mergeCell ref="A22:A24"/>
    <mergeCell ref="A25:A27"/>
    <mergeCell ref="A34:A35"/>
    <mergeCell ref="A14:A15"/>
    <mergeCell ref="B14:E14"/>
    <mergeCell ref="F14:F15"/>
    <mergeCell ref="G14:L14"/>
    <mergeCell ref="M14:M15"/>
    <mergeCell ref="N14:N15"/>
  </mergeCells>
  <printOptions horizontalCentered="1" verticalCentered="1"/>
  <pageMargins left="3.937007874015748E-2" right="3.937007874015748E-2" top="0.35433070866141736" bottom="0.39370078740157483" header="0.31496062992125984" footer="0.23622047244094491"/>
  <pageSetup scale="35" fitToHeight="0" orientation="landscape" r:id="rId1"/>
  <rowBreaks count="3" manualBreakCount="3">
    <brk id="21" max="15" man="1"/>
    <brk id="27" max="15" man="1"/>
    <brk id="33"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25</vt:i4>
      </vt:variant>
    </vt:vector>
  </HeadingPairs>
  <TitlesOfParts>
    <vt:vector size="41" baseType="lpstr">
      <vt:lpstr>Presentación</vt:lpstr>
      <vt:lpstr>Introducción</vt:lpstr>
      <vt:lpstr>Seguridad Militar</vt:lpstr>
      <vt:lpstr>Agropecuaria</vt:lpstr>
      <vt:lpstr>Logística</vt:lpstr>
      <vt:lpstr>Comercialización</vt:lpstr>
      <vt:lpstr>Programas</vt:lpstr>
      <vt:lpstr>Dirección Ejecutiva</vt:lpstr>
      <vt:lpstr>Comunicaciones</vt:lpstr>
      <vt:lpstr>Normas y Seguimiento</vt:lpstr>
      <vt:lpstr>Planificación y Desarrollo</vt:lpstr>
      <vt:lpstr>TIC</vt:lpstr>
      <vt:lpstr>Jurídica</vt:lpstr>
      <vt:lpstr>Administrativa Financiera</vt:lpstr>
      <vt:lpstr>Recursos Humanos</vt:lpstr>
      <vt:lpstr>OAI</vt:lpstr>
      <vt:lpstr>'Administrativa Financiera'!Área_de_impresión</vt:lpstr>
      <vt:lpstr>Agropecuaria!Área_de_impresión</vt:lpstr>
      <vt:lpstr>Comercialización!Área_de_impresión</vt:lpstr>
      <vt:lpstr>Comunicaciones!Área_de_impresión</vt:lpstr>
      <vt:lpstr>'Dirección Ejecutiva'!Área_de_impresión</vt:lpstr>
      <vt:lpstr>Introducción!Área_de_impresión</vt:lpstr>
      <vt:lpstr>Jurídica!Área_de_impresión</vt:lpstr>
      <vt:lpstr>Logística!Área_de_impresión</vt:lpstr>
      <vt:lpstr>'Normas y Seguimiento'!Área_de_impresión</vt:lpstr>
      <vt:lpstr>OAI!Área_de_impresión</vt:lpstr>
      <vt:lpstr>'Planificación y Desarrollo'!Área_de_impresión</vt:lpstr>
      <vt:lpstr>Presentación!Área_de_impresión</vt:lpstr>
      <vt:lpstr>Programas!Área_de_impresión</vt:lpstr>
      <vt:lpstr>'Recursos Humanos'!Área_de_impresión</vt:lpstr>
      <vt:lpstr>'Seguridad Militar'!Área_de_impresión</vt:lpstr>
      <vt:lpstr>TIC!Área_de_impresión</vt:lpstr>
      <vt:lpstr>'Administrativa Financiera'!Títulos_a_imprimir</vt:lpstr>
      <vt:lpstr>Agropecuaria!Títulos_a_imprimir</vt:lpstr>
      <vt:lpstr>Comunicaciones!Títulos_a_imprimir</vt:lpstr>
      <vt:lpstr>'Dirección Ejecutiva'!Títulos_a_imprimir</vt:lpstr>
      <vt:lpstr>'Normas y Seguimiento'!Títulos_a_imprimir</vt:lpstr>
      <vt:lpstr>'Planificación y Desarrollo'!Títulos_a_imprimir</vt:lpstr>
      <vt:lpstr>Programas!Títulos_a_imprimir</vt:lpstr>
      <vt:lpstr>'Recursos Humanos'!Títulos_a_imprimir</vt:lpstr>
      <vt:lpstr>TIC!Títulos_a_imprimir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Ranci Yanel Danis Veras</cp:lastModifiedBy>
  <cp:lastPrinted>2022-01-07T15:49:46Z</cp:lastPrinted>
  <dcterms:created xsi:type="dcterms:W3CDTF">2021-05-03T15:11:20Z</dcterms:created>
  <dcterms:modified xsi:type="dcterms:W3CDTF">2022-01-07T15:51:56Z</dcterms:modified>
</cp:coreProperties>
</file>