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COMPRAS Y CONTRATACIONES\ESTADOS DE CUENTAS DE SUPLIDORES\2021\"/>
    </mc:Choice>
  </mc:AlternateContent>
  <xr:revisionPtr revIDLastSave="0" documentId="8_{04E39123-14DB-4207-8142-85F9E2D94411}" xr6:coauthVersionLast="36" xr6:coauthVersionMax="36" xr10:uidLastSave="{00000000-0000-0000-0000-000000000000}"/>
  <bookViews>
    <workbookView xWindow="32760" yWindow="32760" windowWidth="23040" windowHeight="8430"/>
  </bookViews>
  <sheets>
    <sheet name="NOVIEMBRE 2021" sheetId="1" r:id="rId1"/>
    <sheet name="Hoja5" sheetId="10" r:id="rId2"/>
    <sheet name="NOV" sheetId="9" r:id="rId3"/>
    <sheet name="OCT." sheetId="8" r:id="rId4"/>
    <sheet name="Hoja2" sheetId="3" r:id="rId5"/>
    <sheet name="Hoja3" sheetId="4" r:id="rId6"/>
    <sheet name="AGO-PAGOS" sheetId="7" r:id="rId7"/>
    <sheet name="AGO-2021" sheetId="6" r:id="rId8"/>
    <sheet name="JULIO21" sheetId="5" r:id="rId9"/>
    <sheet name="Hoja1" sheetId="2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xlnm.Print_Area" localSheetId="0">'NOVIEMBRE 2021'!$B$1:$J$254</definedName>
    <definedName name="_xlnm.Print_Titles" localSheetId="0">'NOVIEMBRE 2021'!$1:$15</definedName>
  </definedNames>
  <calcPr calcId="191029" fullCalcOnLoad="1"/>
</workbook>
</file>

<file path=xl/calcChain.xml><?xml version="1.0" encoding="utf-8"?>
<calcChain xmlns="http://schemas.openxmlformats.org/spreadsheetml/2006/main">
  <c r="I239" i="1" l="1"/>
  <c r="H241" i="1"/>
  <c r="H243" i="1" s="1"/>
  <c r="F241" i="1"/>
  <c r="I241" i="1" s="1"/>
  <c r="I236" i="1"/>
  <c r="I232" i="1"/>
  <c r="I231" i="1"/>
  <c r="I227" i="1"/>
  <c r="I221" i="1"/>
  <c r="I217" i="1"/>
  <c r="I214" i="1"/>
  <c r="I210" i="1"/>
  <c r="I206" i="1"/>
  <c r="I194" i="1"/>
  <c r="I193" i="1"/>
  <c r="I192" i="1"/>
  <c r="I191" i="1"/>
  <c r="I186" i="1"/>
  <c r="I184" i="1"/>
  <c r="I183" i="1"/>
  <c r="I182" i="1"/>
  <c r="I177" i="1"/>
  <c r="I173" i="1"/>
  <c r="I169" i="1"/>
  <c r="I165" i="1"/>
  <c r="I161" i="1"/>
  <c r="I157" i="1"/>
  <c r="I155" i="1"/>
  <c r="I154" i="1"/>
  <c r="I151" i="1"/>
  <c r="I150" i="1"/>
  <c r="I149" i="1"/>
  <c r="I148" i="1"/>
  <c r="I146" i="1"/>
  <c r="I142" i="1"/>
  <c r="I139" i="1"/>
  <c r="I138" i="1"/>
  <c r="I137" i="1"/>
  <c r="I135" i="1"/>
  <c r="I132" i="1"/>
  <c r="I129" i="1"/>
  <c r="I126" i="1"/>
  <c r="I124" i="1"/>
  <c r="I121" i="1"/>
  <c r="I120" i="1"/>
  <c r="I118" i="1"/>
  <c r="I115" i="1"/>
  <c r="I112" i="1"/>
  <c r="I109" i="1"/>
  <c r="I107" i="1"/>
  <c r="I104" i="1"/>
  <c r="I102" i="1"/>
  <c r="I98" i="1"/>
  <c r="I94" i="1"/>
  <c r="I90" i="1"/>
  <c r="I86" i="1"/>
  <c r="I82" i="1"/>
  <c r="I78" i="1"/>
  <c r="I75" i="1"/>
  <c r="I76" i="1"/>
  <c r="I70" i="1"/>
  <c r="I72" i="1"/>
  <c r="I71" i="1"/>
  <c r="I68" i="1"/>
  <c r="I67" i="1"/>
  <c r="I64" i="1"/>
  <c r="I63" i="1"/>
  <c r="I62" i="1"/>
  <c r="I61" i="1"/>
  <c r="I60" i="1"/>
  <c r="I59" i="1"/>
  <c r="I58" i="1"/>
  <c r="I54" i="1"/>
  <c r="I52" i="1"/>
  <c r="I50" i="1"/>
  <c r="I48" i="1"/>
  <c r="I47" i="1"/>
  <c r="I46" i="1"/>
  <c r="I45" i="1"/>
  <c r="I44" i="1"/>
  <c r="I41" i="1"/>
  <c r="I40" i="1"/>
  <c r="I39" i="1"/>
  <c r="I38" i="1"/>
  <c r="I34" i="1"/>
  <c r="I33" i="1"/>
  <c r="I32" i="1"/>
  <c r="I28" i="1"/>
  <c r="I27" i="1"/>
  <c r="I26" i="1"/>
  <c r="I24" i="1"/>
  <c r="I22" i="1"/>
  <c r="I20" i="1"/>
  <c r="I18" i="1"/>
  <c r="G328" i="10"/>
  <c r="F326" i="10"/>
  <c r="E326" i="10"/>
  <c r="G326" i="10"/>
  <c r="G330" i="10"/>
  <c r="G28" i="10"/>
  <c r="G29" i="10" s="1"/>
  <c r="G30" i="10" s="1"/>
  <c r="G31" i="10" s="1"/>
  <c r="G32" i="10" s="1"/>
  <c r="G33" i="10" s="1"/>
  <c r="G34" i="10" s="1"/>
  <c r="G35" i="10" s="1"/>
  <c r="G36" i="10" s="1"/>
  <c r="G37" i="10" s="1"/>
  <c r="G38" i="10" s="1"/>
  <c r="G39" i="10" s="1"/>
  <c r="G40" i="10" s="1"/>
  <c r="G41" i="10" s="1"/>
  <c r="G42" i="10" s="1"/>
  <c r="G43" i="10" s="1"/>
  <c r="G44" i="10" s="1"/>
  <c r="G45" i="10" s="1"/>
  <c r="G46" i="10" s="1"/>
  <c r="G47" i="10" s="1"/>
  <c r="G48" i="10" s="1"/>
  <c r="G49" i="10" s="1"/>
  <c r="G50" i="10" s="1"/>
  <c r="G51" i="10" s="1"/>
  <c r="G52" i="10"/>
  <c r="G53" i="10" s="1"/>
  <c r="G54" i="10" s="1"/>
  <c r="G55" i="10" s="1"/>
  <c r="G56" i="10" s="1"/>
  <c r="G57" i="10" s="1"/>
  <c r="G58" i="10" s="1"/>
  <c r="G59" i="10" s="1"/>
  <c r="G60" i="10" s="1"/>
  <c r="G61" i="10" s="1"/>
  <c r="G62" i="10" s="1"/>
  <c r="G63" i="10" s="1"/>
  <c r="G64" i="10" s="1"/>
  <c r="G65" i="10" s="1"/>
  <c r="G66" i="10" s="1"/>
  <c r="G67" i="10" s="1"/>
  <c r="G68" i="10" s="1"/>
  <c r="G69" i="10" s="1"/>
  <c r="G70" i="10" s="1"/>
  <c r="G71" i="10" s="1"/>
  <c r="G72" i="10" s="1"/>
  <c r="G73" i="10" s="1"/>
  <c r="G74" i="10" s="1"/>
  <c r="G75" i="10" s="1"/>
  <c r="G76" i="10" s="1"/>
  <c r="G77" i="10" s="1"/>
  <c r="G78" i="10" s="1"/>
  <c r="G79" i="10" s="1"/>
  <c r="G80" i="10" s="1"/>
  <c r="G81" i="10" s="1"/>
  <c r="G82" i="10" s="1"/>
  <c r="G83" i="10" s="1"/>
  <c r="G84" i="10" s="1"/>
  <c r="G85" i="10" s="1"/>
  <c r="G86" i="10" s="1"/>
  <c r="G87" i="10" s="1"/>
  <c r="G88" i="10" s="1"/>
  <c r="G89" i="10" s="1"/>
  <c r="G90" i="10" s="1"/>
  <c r="G91" i="10" s="1"/>
  <c r="G92" i="10"/>
  <c r="G93" i="10" s="1"/>
  <c r="G94" i="10" s="1"/>
  <c r="G95" i="10" s="1"/>
  <c r="G96" i="10" s="1"/>
  <c r="G97" i="10" s="1"/>
  <c r="G98" i="10" s="1"/>
  <c r="G99" i="10" s="1"/>
  <c r="G100" i="10" s="1"/>
  <c r="G101" i="10" s="1"/>
  <c r="G102" i="10" s="1"/>
  <c r="G103" i="10" s="1"/>
  <c r="G104" i="10" s="1"/>
  <c r="G105" i="10" s="1"/>
  <c r="G106" i="10" s="1"/>
  <c r="G107" i="10" s="1"/>
  <c r="G108" i="10" s="1"/>
  <c r="G109" i="10" s="1"/>
  <c r="G110" i="10" s="1"/>
  <c r="G111" i="10" s="1"/>
  <c r="G112" i="10" s="1"/>
  <c r="G113" i="10" s="1"/>
  <c r="G114" i="10" s="1"/>
  <c r="G115" i="10" s="1"/>
  <c r="G116" i="10" s="1"/>
  <c r="G117" i="10" s="1"/>
  <c r="G118" i="10" s="1"/>
  <c r="G119" i="10" s="1"/>
  <c r="G120" i="10" s="1"/>
  <c r="G121" i="10" s="1"/>
  <c r="G122" i="10" s="1"/>
  <c r="G123" i="10" s="1"/>
  <c r="G124" i="10" s="1"/>
  <c r="G125" i="10" s="1"/>
  <c r="G126" i="10" s="1"/>
  <c r="G127" i="10" s="1"/>
  <c r="G128" i="10" s="1"/>
  <c r="G129" i="10" s="1"/>
  <c r="G130" i="10" s="1"/>
  <c r="G131" i="10" s="1"/>
  <c r="G132" i="10" s="1"/>
  <c r="G133" i="10" s="1"/>
  <c r="G134" i="10" s="1"/>
  <c r="G135" i="10" s="1"/>
  <c r="G136" i="10" s="1"/>
  <c r="G137" i="10" s="1"/>
  <c r="G138" i="10" s="1"/>
  <c r="G139" i="10" s="1"/>
  <c r="G140" i="10" s="1"/>
  <c r="G141" i="10" s="1"/>
  <c r="G142" i="10" s="1"/>
  <c r="G143" i="10" s="1"/>
  <c r="G144" i="10" s="1"/>
  <c r="G145" i="10" s="1"/>
  <c r="G146" i="10" s="1"/>
  <c r="G147" i="10" s="1"/>
  <c r="G148" i="10" s="1"/>
  <c r="G149" i="10" s="1"/>
  <c r="G150" i="10" s="1"/>
  <c r="G151" i="10" s="1"/>
  <c r="G152" i="10" s="1"/>
  <c r="G153" i="10" s="1"/>
  <c r="G154" i="10" s="1"/>
  <c r="G155" i="10" s="1"/>
  <c r="G156" i="10" s="1"/>
  <c r="G157" i="10" s="1"/>
  <c r="G158" i="10" s="1"/>
  <c r="G159" i="10" s="1"/>
  <c r="G160" i="10" s="1"/>
  <c r="G161" i="10" s="1"/>
  <c r="G162" i="10" s="1"/>
  <c r="G163" i="10" s="1"/>
  <c r="G164" i="10" s="1"/>
  <c r="G165" i="10" s="1"/>
  <c r="G166" i="10" s="1"/>
  <c r="G167" i="10" s="1"/>
  <c r="G168" i="10" s="1"/>
  <c r="G169" i="10" s="1"/>
  <c r="G170" i="10" s="1"/>
  <c r="G171" i="10" s="1"/>
  <c r="G172" i="10" s="1"/>
  <c r="G173" i="10" s="1"/>
  <c r="G174" i="10" s="1"/>
  <c r="G175" i="10" s="1"/>
  <c r="G176" i="10" s="1"/>
  <c r="G177" i="10" s="1"/>
  <c r="G178" i="10" s="1"/>
  <c r="G179" i="10" s="1"/>
  <c r="G180" i="10" s="1"/>
  <c r="G181" i="10" s="1"/>
  <c r="G182" i="10" s="1"/>
  <c r="G183" i="10" s="1"/>
  <c r="G184" i="10" s="1"/>
  <c r="G185" i="10" s="1"/>
  <c r="G186" i="10" s="1"/>
  <c r="G187" i="10" s="1"/>
  <c r="G188" i="10" s="1"/>
  <c r="G189" i="10" s="1"/>
  <c r="G190" i="10" s="1"/>
  <c r="G191" i="10" s="1"/>
  <c r="G192" i="10" s="1"/>
  <c r="G193" i="10" s="1"/>
  <c r="G194" i="10" s="1"/>
  <c r="G195" i="10" s="1"/>
  <c r="G196" i="10" s="1"/>
  <c r="G197" i="10" s="1"/>
  <c r="G198" i="10" s="1"/>
  <c r="G199" i="10" s="1"/>
  <c r="G200" i="10" s="1"/>
  <c r="G201" i="10" s="1"/>
  <c r="G202" i="10" s="1"/>
  <c r="G203" i="10" s="1"/>
  <c r="G204" i="10" s="1"/>
  <c r="G205" i="10" s="1"/>
  <c r="G206" i="10" s="1"/>
  <c r="G207" i="10" s="1"/>
  <c r="G208" i="10" s="1"/>
  <c r="G209" i="10" s="1"/>
  <c r="G210" i="10" s="1"/>
  <c r="G211" i="10" s="1"/>
  <c r="G212" i="10" s="1"/>
  <c r="G213" i="10" s="1"/>
  <c r="G214" i="10" s="1"/>
  <c r="G215" i="10" s="1"/>
  <c r="G216" i="10" s="1"/>
  <c r="G217" i="10" s="1"/>
  <c r="G218" i="10" s="1"/>
  <c r="G219" i="10" s="1"/>
  <c r="G220" i="10" s="1"/>
  <c r="G221" i="10" s="1"/>
  <c r="G222" i="10" s="1"/>
  <c r="G223" i="10" s="1"/>
  <c r="G224" i="10" s="1"/>
  <c r="G225" i="10" s="1"/>
  <c r="G226" i="10" s="1"/>
  <c r="G227" i="10" s="1"/>
  <c r="G228" i="10" s="1"/>
  <c r="G229" i="10" s="1"/>
  <c r="G230" i="10" s="1"/>
  <c r="G231" i="10" s="1"/>
  <c r="G232" i="10" s="1"/>
  <c r="G233" i="10" s="1"/>
  <c r="G234" i="10" s="1"/>
  <c r="G235" i="10" s="1"/>
  <c r="G236" i="10" s="1"/>
  <c r="G237" i="10" s="1"/>
  <c r="G238" i="10" s="1"/>
  <c r="G239" i="10" s="1"/>
  <c r="G240" i="10" s="1"/>
  <c r="G241" i="10" s="1"/>
  <c r="G242" i="10" s="1"/>
  <c r="G243" i="10" s="1"/>
  <c r="G244" i="10" s="1"/>
  <c r="G245" i="10" s="1"/>
  <c r="G246" i="10" s="1"/>
  <c r="G247" i="10" s="1"/>
  <c r="G248" i="10" s="1"/>
  <c r="G249" i="10" s="1"/>
  <c r="G250" i="10" s="1"/>
  <c r="G251" i="10" s="1"/>
  <c r="G252" i="10" s="1"/>
  <c r="G253" i="10" s="1"/>
  <c r="G254" i="10" s="1"/>
  <c r="G255" i="10" s="1"/>
  <c r="G256" i="10" s="1"/>
  <c r="G257" i="10" s="1"/>
  <c r="G258" i="10" s="1"/>
  <c r="G259" i="10" s="1"/>
  <c r="G260" i="10" s="1"/>
  <c r="G261" i="10" s="1"/>
  <c r="G262" i="10" s="1"/>
  <c r="G263" i="10" s="1"/>
  <c r="G264" i="10" s="1"/>
  <c r="G265" i="10" s="1"/>
  <c r="G266" i="10" s="1"/>
  <c r="G267" i="10" s="1"/>
  <c r="G268" i="10" s="1"/>
  <c r="G269" i="10" s="1"/>
  <c r="G270" i="10" s="1"/>
  <c r="G271" i="10" s="1"/>
  <c r="G272" i="10" s="1"/>
  <c r="G273" i="10" s="1"/>
  <c r="G274" i="10" s="1"/>
  <c r="G275" i="10" s="1"/>
  <c r="G276" i="10" s="1"/>
  <c r="G277" i="10" s="1"/>
  <c r="G278" i="10" s="1"/>
  <c r="G279" i="10" s="1"/>
  <c r="G280" i="10" s="1"/>
  <c r="G281" i="10" s="1"/>
  <c r="G282" i="10" s="1"/>
  <c r="G283" i="10" s="1"/>
  <c r="G284" i="10" s="1"/>
  <c r="G285" i="10" s="1"/>
  <c r="G286" i="10" s="1"/>
  <c r="G287" i="10" s="1"/>
  <c r="G288" i="10" s="1"/>
  <c r="G289" i="10" s="1"/>
  <c r="G290" i="10" s="1"/>
  <c r="G291" i="10" s="1"/>
  <c r="G292" i="10" s="1"/>
  <c r="G293" i="10" s="1"/>
  <c r="G294" i="10" s="1"/>
  <c r="G295" i="10" s="1"/>
  <c r="G296" i="10" s="1"/>
  <c r="G297" i="10" s="1"/>
  <c r="G298" i="10" s="1"/>
  <c r="G299" i="10" s="1"/>
  <c r="G300" i="10" s="1"/>
  <c r="G301" i="10" s="1"/>
  <c r="G302" i="10" s="1"/>
  <c r="G303" i="10" s="1"/>
  <c r="G304" i="10" s="1"/>
  <c r="G305" i="10" s="1"/>
  <c r="G306" i="10" s="1"/>
  <c r="G307" i="10" s="1"/>
  <c r="G308" i="10" s="1"/>
  <c r="G309" i="10" s="1"/>
  <c r="G310" i="10" s="1"/>
  <c r="G311" i="10" s="1"/>
  <c r="G312" i="10" s="1"/>
  <c r="G313" i="10" s="1"/>
  <c r="G314" i="10" s="1"/>
  <c r="G315" i="10" s="1"/>
  <c r="G316" i="10" s="1"/>
  <c r="G317" i="10" s="1"/>
  <c r="G318" i="10" s="1"/>
  <c r="G319" i="10" s="1"/>
  <c r="G320" i="10" s="1"/>
  <c r="G321" i="10" s="1"/>
  <c r="G322" i="10" s="1"/>
  <c r="G323" i="10" s="1"/>
  <c r="G16" i="10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F386" i="9"/>
  <c r="M383" i="9"/>
  <c r="L383" i="9"/>
  <c r="K383" i="9"/>
  <c r="J383" i="9"/>
  <c r="I383" i="9"/>
  <c r="E379" i="9"/>
  <c r="F378" i="9"/>
  <c r="F377" i="9"/>
  <c r="F379" i="9" s="1"/>
  <c r="E373" i="9"/>
  <c r="E367" i="9"/>
  <c r="F366" i="9"/>
  <c r="F364" i="9"/>
  <c r="N359" i="9"/>
  <c r="N383" i="9"/>
  <c r="I359" i="9"/>
  <c r="F359" i="9"/>
  <c r="F358" i="9"/>
  <c r="F357" i="9"/>
  <c r="F367" i="9" s="1"/>
  <c r="E352" i="9"/>
  <c r="E383" i="9" s="1"/>
  <c r="E330" i="9"/>
  <c r="F329" i="9"/>
  <c r="F328" i="9"/>
  <c r="F330" i="9" s="1"/>
  <c r="F327" i="9"/>
  <c r="H324" i="9"/>
  <c r="F324" i="9"/>
  <c r="H323" i="9"/>
  <c r="H326" i="9" s="1"/>
  <c r="H328" i="9" s="1"/>
  <c r="F323" i="9"/>
  <c r="E303" i="9"/>
  <c r="F303" i="9"/>
  <c r="E302" i="9"/>
  <c r="E301" i="9"/>
  <c r="F301" i="9"/>
  <c r="E294" i="9"/>
  <c r="E279" i="9"/>
  <c r="F199" i="9"/>
  <c r="F93" i="9"/>
  <c r="F118" i="9"/>
  <c r="F247" i="9"/>
  <c r="F168" i="9"/>
  <c r="F209" i="9"/>
  <c r="F246" i="9"/>
  <c r="F233" i="9"/>
  <c r="F215" i="9"/>
  <c r="F234" i="9"/>
  <c r="F248" i="9"/>
  <c r="F238" i="9"/>
  <c r="F78" i="9"/>
  <c r="H89" i="9"/>
  <c r="E89" i="9"/>
  <c r="F83" i="9"/>
  <c r="H243" i="9"/>
  <c r="F243" i="9"/>
  <c r="E243" i="9"/>
  <c r="H61" i="9"/>
  <c r="E61" i="9"/>
  <c r="F111" i="9"/>
  <c r="H242" i="9"/>
  <c r="E242" i="9"/>
  <c r="F241" i="9"/>
  <c r="H230" i="9"/>
  <c r="F230" i="9"/>
  <c r="F214" i="9"/>
  <c r="F127" i="9"/>
  <c r="F30" i="9"/>
  <c r="F33" i="9"/>
  <c r="F229" i="9"/>
  <c r="H28" i="9"/>
  <c r="F28" i="9"/>
  <c r="F105" i="9"/>
  <c r="H231" i="9"/>
  <c r="F231" i="9"/>
  <c r="F103" i="9"/>
  <c r="F102" i="9"/>
  <c r="F163" i="9"/>
  <c r="F212" i="9"/>
  <c r="H88" i="9"/>
  <c r="E88" i="9"/>
  <c r="I238" i="1"/>
  <c r="I234" i="1"/>
  <c r="I229" i="1"/>
  <c r="I225" i="1"/>
  <c r="I223" i="1"/>
  <c r="I219" i="1"/>
  <c r="I216" i="1"/>
  <c r="I212" i="1"/>
  <c r="I208" i="1"/>
  <c r="I204" i="1"/>
  <c r="I202" i="1"/>
  <c r="I200" i="1"/>
  <c r="I198" i="1"/>
  <c r="I196" i="1"/>
  <c r="I190" i="1"/>
  <c r="I181" i="1"/>
  <c r="I179" i="1"/>
  <c r="I171" i="1"/>
  <c r="I163" i="1"/>
  <c r="I153" i="1"/>
  <c r="I144" i="1"/>
  <c r="I134" i="1"/>
  <c r="I131" i="1"/>
  <c r="I128" i="1"/>
  <c r="I123" i="1"/>
  <c r="I117" i="1"/>
  <c r="I114" i="1"/>
  <c r="I100" i="1"/>
  <c r="I74" i="1"/>
  <c r="I66" i="1"/>
  <c r="I56" i="1"/>
  <c r="I43" i="1"/>
  <c r="I30" i="1"/>
  <c r="G325" i="3"/>
  <c r="G327" i="3"/>
  <c r="F323" i="3"/>
  <c r="E323" i="3"/>
  <c r="G323" i="3" s="1"/>
  <c r="G16" i="3"/>
  <c r="G17" i="3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 s="1"/>
  <c r="G168" i="3" s="1"/>
  <c r="G169" i="3" s="1"/>
  <c r="G170" i="3" s="1"/>
  <c r="G171" i="3" s="1"/>
  <c r="G172" i="3" s="1"/>
  <c r="G173" i="3" s="1"/>
  <c r="G174" i="3" s="1"/>
  <c r="G175" i="3" s="1"/>
  <c r="G176" i="3" s="1"/>
  <c r="G177" i="3" s="1"/>
  <c r="G178" i="3" s="1"/>
  <c r="G179" i="3" s="1"/>
  <c r="G180" i="3" s="1"/>
  <c r="G181" i="3" s="1"/>
  <c r="G182" i="3" s="1"/>
  <c r="G183" i="3" s="1"/>
  <c r="G184" i="3" s="1"/>
  <c r="G185" i="3" s="1"/>
  <c r="G186" i="3" s="1"/>
  <c r="G187" i="3" s="1"/>
  <c r="G188" i="3" s="1"/>
  <c r="G189" i="3" s="1"/>
  <c r="G190" i="3" s="1"/>
  <c r="G191" i="3" s="1"/>
  <c r="G192" i="3" s="1"/>
  <c r="G193" i="3" s="1"/>
  <c r="G194" i="3" s="1"/>
  <c r="G195" i="3" s="1"/>
  <c r="G196" i="3" s="1"/>
  <c r="G197" i="3" s="1"/>
  <c r="G198" i="3" s="1"/>
  <c r="G199" i="3" s="1"/>
  <c r="G200" i="3" s="1"/>
  <c r="G201" i="3" s="1"/>
  <c r="G202" i="3" s="1"/>
  <c r="G203" i="3" s="1"/>
  <c r="G204" i="3" s="1"/>
  <c r="G205" i="3" s="1"/>
  <c r="G206" i="3" s="1"/>
  <c r="G207" i="3" s="1"/>
  <c r="G208" i="3" s="1"/>
  <c r="G209" i="3" s="1"/>
  <c r="G210" i="3" s="1"/>
  <c r="G211" i="3" s="1"/>
  <c r="G212" i="3" s="1"/>
  <c r="G213" i="3" s="1"/>
  <c r="G214" i="3" s="1"/>
  <c r="G215" i="3" s="1"/>
  <c r="G216" i="3" s="1"/>
  <c r="G217" i="3" s="1"/>
  <c r="G218" i="3" s="1"/>
  <c r="G219" i="3" s="1"/>
  <c r="G220" i="3" s="1"/>
  <c r="G221" i="3" s="1"/>
  <c r="G222" i="3" s="1"/>
  <c r="G223" i="3" s="1"/>
  <c r="G224" i="3" s="1"/>
  <c r="G225" i="3" s="1"/>
  <c r="G226" i="3" s="1"/>
  <c r="G227" i="3" s="1"/>
  <c r="G228" i="3" s="1"/>
  <c r="G229" i="3" s="1"/>
  <c r="G230" i="3" s="1"/>
  <c r="G231" i="3" s="1"/>
  <c r="G232" i="3" s="1"/>
  <c r="G233" i="3" s="1"/>
  <c r="G234" i="3" s="1"/>
  <c r="G235" i="3" s="1"/>
  <c r="G236" i="3" s="1"/>
  <c r="G237" i="3" s="1"/>
  <c r="G238" i="3" s="1"/>
  <c r="G239" i="3" s="1"/>
  <c r="G240" i="3" s="1"/>
  <c r="G241" i="3" s="1"/>
  <c r="G242" i="3" s="1"/>
  <c r="G243" i="3" s="1"/>
  <c r="G244" i="3" s="1"/>
  <c r="G245" i="3" s="1"/>
  <c r="G246" i="3" s="1"/>
  <c r="G247" i="3" s="1"/>
  <c r="G248" i="3" s="1"/>
  <c r="G249" i="3" s="1"/>
  <c r="G250" i="3" s="1"/>
  <c r="G251" i="3" s="1"/>
  <c r="G252" i="3" s="1"/>
  <c r="G253" i="3" s="1"/>
  <c r="G254" i="3" s="1"/>
  <c r="G255" i="3" s="1"/>
  <c r="G256" i="3" s="1"/>
  <c r="G257" i="3" s="1"/>
  <c r="G258" i="3" s="1"/>
  <c r="G259" i="3" s="1"/>
  <c r="G260" i="3" s="1"/>
  <c r="G261" i="3" s="1"/>
  <c r="G262" i="3" s="1"/>
  <c r="G263" i="3" s="1"/>
  <c r="G264" i="3" s="1"/>
  <c r="G265" i="3" s="1"/>
  <c r="G266" i="3" s="1"/>
  <c r="G267" i="3" s="1"/>
  <c r="G268" i="3" s="1"/>
  <c r="G269" i="3" s="1"/>
  <c r="G270" i="3" s="1"/>
  <c r="G271" i="3" s="1"/>
  <c r="G272" i="3" s="1"/>
  <c r="G273" i="3" s="1"/>
  <c r="G274" i="3" s="1"/>
  <c r="G275" i="3" s="1"/>
  <c r="G276" i="3" s="1"/>
  <c r="G277" i="3" s="1"/>
  <c r="G278" i="3" s="1"/>
  <c r="G279" i="3" s="1"/>
  <c r="G280" i="3" s="1"/>
  <c r="G281" i="3" s="1"/>
  <c r="G282" i="3" s="1"/>
  <c r="G283" i="3" s="1"/>
  <c r="G284" i="3" s="1"/>
  <c r="G285" i="3" s="1"/>
  <c r="G286" i="3" s="1"/>
  <c r="G287" i="3" s="1"/>
  <c r="G288" i="3" s="1"/>
  <c r="G289" i="3" s="1"/>
  <c r="G290" i="3" s="1"/>
  <c r="G291" i="3" s="1"/>
  <c r="G292" i="3" s="1"/>
  <c r="G293" i="3" s="1"/>
  <c r="G294" i="3" s="1"/>
  <c r="G295" i="3" s="1"/>
  <c r="G296" i="3" s="1"/>
  <c r="G297" i="3" s="1"/>
  <c r="G298" i="3" s="1"/>
  <c r="G299" i="3" s="1"/>
  <c r="G300" i="3" s="1"/>
  <c r="G301" i="3" s="1"/>
  <c r="G302" i="3" s="1"/>
  <c r="G303" i="3" s="1"/>
  <c r="G304" i="3" s="1"/>
  <c r="G305" i="3" s="1"/>
  <c r="G306" i="3" s="1"/>
  <c r="G307" i="3" s="1"/>
  <c r="G308" i="3" s="1"/>
  <c r="G309" i="3" s="1"/>
  <c r="G310" i="3" s="1"/>
  <c r="G311" i="3" s="1"/>
  <c r="G312" i="3" s="1"/>
  <c r="G313" i="3" s="1"/>
  <c r="G314" i="3" s="1"/>
  <c r="G315" i="3" s="1"/>
  <c r="G316" i="3" s="1"/>
  <c r="G317" i="3" s="1"/>
  <c r="G318" i="3" s="1"/>
  <c r="G319" i="3" s="1"/>
  <c r="G320" i="3" s="1"/>
  <c r="F385" i="8"/>
  <c r="F381" i="8"/>
  <c r="F372" i="8"/>
  <c r="E372" i="8"/>
  <c r="F371" i="8"/>
  <c r="F370" i="8"/>
  <c r="E363" i="8"/>
  <c r="F361" i="8"/>
  <c r="F359" i="8"/>
  <c r="F354" i="8"/>
  <c r="F353" i="8"/>
  <c r="F363" i="8"/>
  <c r="E348" i="8"/>
  <c r="F338" i="8"/>
  <c r="F337" i="8"/>
  <c r="F336" i="8"/>
  <c r="F335" i="8"/>
  <c r="F333" i="8"/>
  <c r="H332" i="8"/>
  <c r="H328" i="8" s="1"/>
  <c r="E332" i="8"/>
  <c r="F332" i="8" s="1"/>
  <c r="H331" i="8"/>
  <c r="E331" i="8"/>
  <c r="F331" i="8"/>
  <c r="F330" i="8"/>
  <c r="N319" i="8"/>
  <c r="N321" i="8" s="1"/>
  <c r="M319" i="8"/>
  <c r="M321" i="8" s="1"/>
  <c r="L319" i="8"/>
  <c r="K319" i="8"/>
  <c r="J319" i="8"/>
  <c r="J321" i="8" s="1"/>
  <c r="I319" i="8"/>
  <c r="I321" i="8" s="1"/>
  <c r="N310" i="8"/>
  <c r="M310" i="8"/>
  <c r="L310" i="8"/>
  <c r="L321" i="8"/>
  <c r="K310" i="8"/>
  <c r="K321" i="8"/>
  <c r="J310" i="8"/>
  <c r="F305" i="8"/>
  <c r="F304" i="8"/>
  <c r="E302" i="8"/>
  <c r="E306" i="8"/>
  <c r="F294" i="8"/>
  <c r="E294" i="8"/>
  <c r="F293" i="8"/>
  <c r="E286" i="8"/>
  <c r="E310" i="8" s="1"/>
  <c r="E265" i="8"/>
  <c r="F163" i="8"/>
  <c r="F145" i="8"/>
  <c r="F201" i="8"/>
  <c r="F117" i="8"/>
  <c r="F200" i="8"/>
  <c r="F166" i="8"/>
  <c r="F179" i="8"/>
  <c r="F229" i="8"/>
  <c r="F264" i="8"/>
  <c r="F210" i="8"/>
  <c r="F260" i="8"/>
  <c r="I85" i="8"/>
  <c r="I310" i="8"/>
  <c r="H175" i="8"/>
  <c r="F175" i="8"/>
  <c r="F198" i="8"/>
  <c r="H115" i="8"/>
  <c r="F155" i="8"/>
  <c r="H239" i="8"/>
  <c r="E239" i="8"/>
  <c r="F251" i="8" s="1"/>
  <c r="F114" i="8"/>
  <c r="F113" i="8"/>
  <c r="F247" i="8"/>
  <c r="F211" i="8"/>
  <c r="F12" i="8"/>
  <c r="F195" i="8"/>
  <c r="F245" i="8"/>
  <c r="F225" i="8"/>
  <c r="H13" i="8"/>
  <c r="F13" i="8"/>
  <c r="F194" i="8"/>
  <c r="F213" i="8"/>
  <c r="F170" i="8"/>
  <c r="F191" i="8"/>
  <c r="F252" i="8"/>
  <c r="F226" i="8"/>
  <c r="H174" i="8"/>
  <c r="I188" i="1"/>
  <c r="I167" i="1"/>
  <c r="I111" i="1"/>
  <c r="I96" i="1"/>
  <c r="I92" i="1"/>
  <c r="I88" i="1"/>
  <c r="I84" i="1"/>
  <c r="I80" i="1"/>
  <c r="F228" i="7"/>
  <c r="I225" i="7"/>
  <c r="I223" i="7"/>
  <c r="I222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7" i="7"/>
  <c r="I206" i="7"/>
  <c r="I205" i="7"/>
  <c r="I204" i="7"/>
  <c r="I203" i="7"/>
  <c r="I201" i="7"/>
  <c r="I200" i="7"/>
  <c r="I199" i="7"/>
  <c r="I198" i="7"/>
  <c r="I196" i="7"/>
  <c r="I195" i="7"/>
  <c r="I193" i="7"/>
  <c r="I191" i="7"/>
  <c r="I189" i="7"/>
  <c r="I187" i="7"/>
  <c r="I186" i="7"/>
  <c r="I185" i="7"/>
  <c r="I184" i="7"/>
  <c r="I182" i="7"/>
  <c r="I181" i="7"/>
  <c r="I179" i="7"/>
  <c r="I177" i="7"/>
  <c r="I175" i="7"/>
  <c r="I173" i="7"/>
  <c r="I171" i="7"/>
  <c r="I169" i="7"/>
  <c r="I168" i="7"/>
  <c r="I167" i="7"/>
  <c r="I166" i="7"/>
  <c r="I164" i="7"/>
  <c r="I162" i="7"/>
  <c r="I160" i="7"/>
  <c r="I158" i="7"/>
  <c r="I156" i="7"/>
  <c r="I154" i="7"/>
  <c r="I152" i="7"/>
  <c r="I151" i="7"/>
  <c r="I150" i="7"/>
  <c r="I149" i="7"/>
  <c r="I147" i="7"/>
  <c r="I145" i="7"/>
  <c r="I144" i="7"/>
  <c r="I143" i="7"/>
  <c r="I141" i="7"/>
  <c r="I139" i="7"/>
  <c r="I138" i="7"/>
  <c r="I137" i="7"/>
  <c r="I135" i="7"/>
  <c r="I133" i="7"/>
  <c r="I131" i="7"/>
  <c r="I130" i="7"/>
  <c r="I128" i="7"/>
  <c r="I126" i="7"/>
  <c r="I124" i="7"/>
  <c r="I122" i="7"/>
  <c r="I120" i="7"/>
  <c r="I119" i="7"/>
  <c r="I118" i="7"/>
  <c r="I116" i="7"/>
  <c r="I115" i="7"/>
  <c r="I114" i="7"/>
  <c r="I113" i="7"/>
  <c r="I112" i="7"/>
  <c r="I111" i="7"/>
  <c r="I110" i="7"/>
  <c r="I109" i="7"/>
  <c r="I108" i="7"/>
  <c r="I106" i="7"/>
  <c r="I104" i="7"/>
  <c r="I103" i="7"/>
  <c r="I102" i="7"/>
  <c r="I101" i="7"/>
  <c r="I100" i="7"/>
  <c r="I99" i="7"/>
  <c r="I97" i="7"/>
  <c r="I96" i="7"/>
  <c r="I95" i="7"/>
  <c r="I94" i="7"/>
  <c r="I93" i="7"/>
  <c r="I91" i="7"/>
  <c r="I90" i="7"/>
  <c r="I88" i="7"/>
  <c r="I87" i="7"/>
  <c r="I86" i="7"/>
  <c r="I85" i="7"/>
  <c r="I83" i="7"/>
  <c r="I81" i="7"/>
  <c r="I79" i="7"/>
  <c r="I78" i="7"/>
  <c r="I77" i="7"/>
  <c r="I75" i="7"/>
  <c r="I73" i="7"/>
  <c r="I72" i="7"/>
  <c r="I70" i="7"/>
  <c r="I68" i="7"/>
  <c r="I66" i="7"/>
  <c r="I64" i="7"/>
  <c r="I62" i="7"/>
  <c r="I60" i="7"/>
  <c r="I58" i="7"/>
  <c r="I56" i="7"/>
  <c r="I54" i="7"/>
  <c r="I53" i="7"/>
  <c r="I52" i="7"/>
  <c r="I51" i="7"/>
  <c r="I50" i="7"/>
  <c r="I48" i="7"/>
  <c r="I47" i="7"/>
  <c r="I45" i="7"/>
  <c r="I43" i="7"/>
  <c r="I41" i="7"/>
  <c r="I39" i="7"/>
  <c r="I37" i="7"/>
  <c r="I35" i="7"/>
  <c r="I33" i="7"/>
  <c r="H31" i="7"/>
  <c r="I31" i="7" s="1"/>
  <c r="I29" i="7"/>
  <c r="I27" i="7"/>
  <c r="H25" i="7"/>
  <c r="H228" i="7" s="1"/>
  <c r="I23" i="7"/>
  <c r="I21" i="7"/>
  <c r="I19" i="7"/>
  <c r="I17" i="7"/>
  <c r="I16" i="7"/>
  <c r="F437" i="4"/>
  <c r="M428" i="4"/>
  <c r="M430" i="4" s="1"/>
  <c r="K428" i="4"/>
  <c r="K430" i="4" s="1"/>
  <c r="J428" i="4"/>
  <c r="J430" i="4" s="1"/>
  <c r="F427" i="4"/>
  <c r="E427" i="4"/>
  <c r="F426" i="4"/>
  <c r="F425" i="4"/>
  <c r="F422" i="4"/>
  <c r="E422" i="4"/>
  <c r="E431" i="4" s="1"/>
  <c r="F420" i="4"/>
  <c r="F418" i="4"/>
  <c r="O413" i="4"/>
  <c r="O428" i="4"/>
  <c r="O430" i="4" s="1"/>
  <c r="I413" i="4"/>
  <c r="E406" i="4"/>
  <c r="E393" i="4"/>
  <c r="F392" i="4"/>
  <c r="F393" i="4" s="1"/>
  <c r="F431" i="4" s="1"/>
  <c r="F391" i="4"/>
  <c r="F390" i="4"/>
  <c r="H388" i="4"/>
  <c r="H387" i="4"/>
  <c r="H391" i="4" s="1"/>
  <c r="H393" i="4" s="1"/>
  <c r="E369" i="4"/>
  <c r="F369" i="4"/>
  <c r="E368" i="4"/>
  <c r="F368" i="4" s="1"/>
  <c r="E366" i="4"/>
  <c r="F366" i="4" s="1"/>
  <c r="E370" i="4"/>
  <c r="E365" i="4"/>
  <c r="F361" i="4"/>
  <c r="E361" i="4"/>
  <c r="F360" i="4"/>
  <c r="E347" i="4"/>
  <c r="F285" i="4"/>
  <c r="F259" i="4"/>
  <c r="F253" i="4"/>
  <c r="F206" i="4"/>
  <c r="F125" i="4"/>
  <c r="F242" i="4"/>
  <c r="F252" i="4"/>
  <c r="F274" i="4"/>
  <c r="F273" i="4"/>
  <c r="F311" i="4"/>
  <c r="N67" i="4"/>
  <c r="L67" i="4"/>
  <c r="L428" i="4" s="1"/>
  <c r="L430" i="4" s="1"/>
  <c r="N53" i="4"/>
  <c r="N50" i="4"/>
  <c r="N428" i="4" s="1"/>
  <c r="N430" i="4" s="1"/>
  <c r="F325" i="4"/>
  <c r="E148" i="4"/>
  <c r="F149" i="4"/>
  <c r="F322" i="4"/>
  <c r="I200" i="4"/>
  <c r="I428" i="4" s="1"/>
  <c r="I430" i="4" s="1"/>
  <c r="H237" i="4"/>
  <c r="E237" i="4"/>
  <c r="F279" i="4"/>
  <c r="F236" i="4"/>
  <c r="F235" i="4"/>
  <c r="F234" i="4"/>
  <c r="H317" i="4"/>
  <c r="F317" i="4"/>
  <c r="H204" i="4"/>
  <c r="E77" i="4"/>
  <c r="F78" i="4" s="1"/>
  <c r="H209" i="4"/>
  <c r="E209" i="4"/>
  <c r="E147" i="4"/>
  <c r="F77" i="4"/>
  <c r="H316" i="4"/>
  <c r="F316" i="4"/>
  <c r="H203" i="4"/>
  <c r="F315" i="4"/>
  <c r="F214" i="4"/>
  <c r="F308" i="4"/>
  <c r="F228" i="4"/>
  <c r="F319" i="4"/>
  <c r="F246" i="4"/>
  <c r="F120" i="4"/>
  <c r="F314" i="4"/>
  <c r="F115" i="4"/>
  <c r="E115" i="4"/>
  <c r="F41" i="4"/>
  <c r="F245" i="4"/>
  <c r="F244" i="4"/>
  <c r="F189" i="4"/>
  <c r="F305" i="4"/>
  <c r="F280" i="4"/>
  <c r="I175" i="1"/>
  <c r="I159" i="1"/>
  <c r="I141" i="1"/>
  <c r="I106" i="1"/>
  <c r="H1363" i="6"/>
  <c r="I1363" i="6" s="1"/>
  <c r="J1363" i="6" s="1"/>
  <c r="I1362" i="6"/>
  <c r="J1362" i="6" s="1"/>
  <c r="H1362" i="6"/>
  <c r="H1361" i="6"/>
  <c r="I1361" i="6"/>
  <c r="J1361" i="6" s="1"/>
  <c r="I1360" i="6"/>
  <c r="J1360" i="6" s="1"/>
  <c r="H1360" i="6"/>
  <c r="H1359" i="6"/>
  <c r="I1359" i="6"/>
  <c r="J1359" i="6" s="1"/>
  <c r="H1358" i="6"/>
  <c r="I1358" i="6" s="1"/>
  <c r="J1358" i="6" s="1"/>
  <c r="H1356" i="6"/>
  <c r="I1356" i="6"/>
  <c r="J1356" i="6" s="1"/>
  <c r="F1354" i="6"/>
  <c r="H1354" i="6"/>
  <c r="I1354" i="6"/>
  <c r="J1354" i="6" s="1"/>
  <c r="I1352" i="6"/>
  <c r="J1352" i="6" s="1"/>
  <c r="H1352" i="6"/>
  <c r="H1351" i="6"/>
  <c r="I1351" i="6" s="1"/>
  <c r="J1351" i="6" s="1"/>
  <c r="H1350" i="6"/>
  <c r="I1350" i="6" s="1"/>
  <c r="J1350" i="6" s="1"/>
  <c r="H1349" i="6"/>
  <c r="I1349" i="6"/>
  <c r="J1349" i="6" s="1"/>
  <c r="H1348" i="6"/>
  <c r="I1348" i="6" s="1"/>
  <c r="J1348" i="6" s="1"/>
  <c r="H1347" i="6"/>
  <c r="I1347" i="6"/>
  <c r="J1347" i="6" s="1"/>
  <c r="I1346" i="6"/>
  <c r="J1346" i="6" s="1"/>
  <c r="H1346" i="6"/>
  <c r="H1345" i="6"/>
  <c r="I1345" i="6"/>
  <c r="J1345" i="6" s="1"/>
  <c r="H1344" i="6"/>
  <c r="I1344" i="6" s="1"/>
  <c r="J1344" i="6" s="1"/>
  <c r="J1343" i="6"/>
  <c r="H1343" i="6"/>
  <c r="I1343" i="6" s="1"/>
  <c r="H1341" i="6"/>
  <c r="I1341" i="6" s="1"/>
  <c r="J1341" i="6" s="1"/>
  <c r="H1340" i="6"/>
  <c r="I1340" i="6"/>
  <c r="J1340" i="6"/>
  <c r="I1339" i="6"/>
  <c r="J1339" i="6" s="1"/>
  <c r="H1339" i="6"/>
  <c r="H1338" i="6"/>
  <c r="I1338" i="6" s="1"/>
  <c r="J1338" i="6" s="1"/>
  <c r="I1336" i="6"/>
  <c r="J1336" i="6" s="1"/>
  <c r="H1336" i="6"/>
  <c r="H1334" i="6"/>
  <c r="I1334" i="6"/>
  <c r="J1334" i="6" s="1"/>
  <c r="H1333" i="6"/>
  <c r="I1333" i="6" s="1"/>
  <c r="J1333" i="6" s="1"/>
  <c r="J1332" i="6"/>
  <c r="H1332" i="6"/>
  <c r="I1332" i="6" s="1"/>
  <c r="H1331" i="6"/>
  <c r="I1331" i="6" s="1"/>
  <c r="J1331" i="6" s="1"/>
  <c r="H1330" i="6"/>
  <c r="I1330" i="6"/>
  <c r="J1330" i="6"/>
  <c r="I1329" i="6"/>
  <c r="J1329" i="6" s="1"/>
  <c r="H1329" i="6"/>
  <c r="H1327" i="6"/>
  <c r="I1327" i="6"/>
  <c r="J1327" i="6" s="1"/>
  <c r="I1326" i="6"/>
  <c r="J1326" i="6" s="1"/>
  <c r="H1326" i="6"/>
  <c r="H1325" i="6"/>
  <c r="I1325" i="6"/>
  <c r="J1325" i="6" s="1"/>
  <c r="H1324" i="6"/>
  <c r="I1324" i="6" s="1"/>
  <c r="J1324" i="6" s="1"/>
  <c r="J1323" i="6"/>
  <c r="H1323" i="6"/>
  <c r="I1323" i="6" s="1"/>
  <c r="H1322" i="6"/>
  <c r="I1322" i="6" s="1"/>
  <c r="J1322" i="6" s="1"/>
  <c r="H1321" i="6"/>
  <c r="I1321" i="6"/>
  <c r="J1321" i="6"/>
  <c r="I1320" i="6"/>
  <c r="J1320" i="6" s="1"/>
  <c r="H1320" i="6"/>
  <c r="H1319" i="6"/>
  <c r="I1319" i="6" s="1"/>
  <c r="J1319" i="6" s="1"/>
  <c r="I1318" i="6"/>
  <c r="J1318" i="6" s="1"/>
  <c r="H1318" i="6"/>
  <c r="H1317" i="6"/>
  <c r="I1317" i="6"/>
  <c r="J1317" i="6" s="1"/>
  <c r="H1315" i="6"/>
  <c r="I1315" i="6" s="1"/>
  <c r="J1315" i="6" s="1"/>
  <c r="J1313" i="6"/>
  <c r="H1313" i="6"/>
  <c r="I1313" i="6" s="1"/>
  <c r="H1311" i="6"/>
  <c r="I1311" i="6" s="1"/>
  <c r="J1311" i="6" s="1"/>
  <c r="H1310" i="6"/>
  <c r="I1310" i="6"/>
  <c r="J1310" i="6"/>
  <c r="I1308" i="6"/>
  <c r="J1308" i="6" s="1"/>
  <c r="H1308" i="6"/>
  <c r="H1307" i="6"/>
  <c r="I1307" i="6"/>
  <c r="J1307" i="6" s="1"/>
  <c r="I1305" i="6"/>
  <c r="J1305" i="6" s="1"/>
  <c r="H1305" i="6"/>
  <c r="H1304" i="6"/>
  <c r="I1304" i="6"/>
  <c r="J1304" i="6" s="1"/>
  <c r="H1303" i="6"/>
  <c r="I1303" i="6" s="1"/>
  <c r="J1303" i="6" s="1"/>
  <c r="J1302" i="6"/>
  <c r="H1302" i="6"/>
  <c r="I1302" i="6" s="1"/>
  <c r="H1301" i="6"/>
  <c r="I1301" i="6" s="1"/>
  <c r="J1301" i="6" s="1"/>
  <c r="H1299" i="6"/>
  <c r="I1299" i="6"/>
  <c r="J1299" i="6"/>
  <c r="I1298" i="6"/>
  <c r="J1298" i="6" s="1"/>
  <c r="H1298" i="6"/>
  <c r="H1296" i="6"/>
  <c r="I1296" i="6" s="1"/>
  <c r="J1296" i="6" s="1"/>
  <c r="I1294" i="6"/>
  <c r="J1294" i="6" s="1"/>
  <c r="H1294" i="6"/>
  <c r="H1293" i="6"/>
  <c r="I1293" i="6"/>
  <c r="J1293" i="6" s="1"/>
  <c r="H1292" i="6"/>
  <c r="I1292" i="6" s="1"/>
  <c r="J1292" i="6" s="1"/>
  <c r="J1291" i="6"/>
  <c r="H1291" i="6"/>
  <c r="I1291" i="6" s="1"/>
  <c r="H1290" i="6"/>
  <c r="I1290" i="6" s="1"/>
  <c r="J1290" i="6" s="1"/>
  <c r="H1289" i="6"/>
  <c r="I1289" i="6"/>
  <c r="J1289" i="6"/>
  <c r="I1287" i="6"/>
  <c r="J1287" i="6" s="1"/>
  <c r="H1287" i="6"/>
  <c r="H1285" i="6"/>
  <c r="I1285" i="6"/>
  <c r="J1285" i="6" s="1"/>
  <c r="I1283" i="6"/>
  <c r="J1283" i="6" s="1"/>
  <c r="H1283" i="6"/>
  <c r="H1281" i="6"/>
  <c r="I1281" i="6"/>
  <c r="J1281" i="6" s="1"/>
  <c r="H1280" i="6"/>
  <c r="I1280" i="6" s="1"/>
  <c r="J1280" i="6" s="1"/>
  <c r="J1279" i="6"/>
  <c r="H1279" i="6"/>
  <c r="I1279" i="6" s="1"/>
  <c r="H1277" i="6"/>
  <c r="I1277" i="6" s="1"/>
  <c r="J1277" i="6" s="1"/>
  <c r="H1275" i="6"/>
  <c r="I1275" i="6"/>
  <c r="J1275" i="6"/>
  <c r="I1274" i="6"/>
  <c r="J1274" i="6" s="1"/>
  <c r="H1274" i="6"/>
  <c r="H1273" i="6"/>
  <c r="I1273" i="6" s="1"/>
  <c r="J1273" i="6" s="1"/>
  <c r="I1271" i="6"/>
  <c r="J1271" i="6" s="1"/>
  <c r="H1271" i="6"/>
  <c r="H1269" i="6"/>
  <c r="I1269" i="6"/>
  <c r="J1269" i="6" s="1"/>
  <c r="H1268" i="6"/>
  <c r="I1268" i="6" s="1"/>
  <c r="J1268" i="6" s="1"/>
  <c r="J1267" i="6"/>
  <c r="H1267" i="6"/>
  <c r="I1267" i="6" s="1"/>
  <c r="H1266" i="6"/>
  <c r="I1266" i="6" s="1"/>
  <c r="J1266" i="6" s="1"/>
  <c r="H1265" i="6"/>
  <c r="I1265" i="6"/>
  <c r="J1265" i="6"/>
  <c r="I1264" i="6"/>
  <c r="J1264" i="6" s="1"/>
  <c r="H1264" i="6"/>
  <c r="H1263" i="6"/>
  <c r="I1263" i="6"/>
  <c r="J1263" i="6" s="1"/>
  <c r="I1261" i="6"/>
  <c r="J1261" i="6" s="1"/>
  <c r="H1261" i="6"/>
  <c r="H1259" i="6"/>
  <c r="I1259" i="6"/>
  <c r="J1259" i="6" s="1"/>
  <c r="H1258" i="6"/>
  <c r="I1258" i="6" s="1"/>
  <c r="J1258" i="6" s="1"/>
  <c r="J1256" i="6"/>
  <c r="H1256" i="6"/>
  <c r="I1256" i="6" s="1"/>
  <c r="H1255" i="6"/>
  <c r="I1255" i="6" s="1"/>
  <c r="J1255" i="6" s="1"/>
  <c r="H1253" i="6"/>
  <c r="I1253" i="6"/>
  <c r="J1253" i="6"/>
  <c r="I1252" i="6"/>
  <c r="J1252" i="6" s="1"/>
  <c r="H1252" i="6"/>
  <c r="H1251" i="6"/>
  <c r="I1251" i="6" s="1"/>
  <c r="J1251" i="6" s="1"/>
  <c r="I1249" i="6"/>
  <c r="J1249" i="6" s="1"/>
  <c r="H1249" i="6"/>
  <c r="H1247" i="6"/>
  <c r="I1247" i="6"/>
  <c r="J1247" i="6" s="1"/>
  <c r="H1245" i="6"/>
  <c r="I1245" i="6" s="1"/>
  <c r="J1245" i="6" s="1"/>
  <c r="J1244" i="6"/>
  <c r="H1244" i="6"/>
  <c r="I1244" i="6" s="1"/>
  <c r="H1243" i="6"/>
  <c r="I1243" i="6" s="1"/>
  <c r="J1243" i="6" s="1"/>
  <c r="H1242" i="6"/>
  <c r="I1242" i="6"/>
  <c r="J1242" i="6"/>
  <c r="I1241" i="6"/>
  <c r="J1241" i="6" s="1"/>
  <c r="H1241" i="6"/>
  <c r="H1239" i="6"/>
  <c r="I1239" i="6"/>
  <c r="J1239" i="6" s="1"/>
  <c r="I1238" i="6"/>
  <c r="J1238" i="6" s="1"/>
  <c r="H1238" i="6"/>
  <c r="H1237" i="6"/>
  <c r="I1237" i="6"/>
  <c r="J1237" i="6" s="1"/>
  <c r="H1236" i="6"/>
  <c r="I1236" i="6" s="1"/>
  <c r="J1236" i="6" s="1"/>
  <c r="J1235" i="6"/>
  <c r="H1235" i="6"/>
  <c r="I1235" i="6" s="1"/>
  <c r="H1234" i="6"/>
  <c r="I1234" i="6" s="1"/>
  <c r="J1234" i="6" s="1"/>
  <c r="H1233" i="6"/>
  <c r="I1233" i="6"/>
  <c r="J1233" i="6"/>
  <c r="I1231" i="6"/>
  <c r="J1231" i="6" s="1"/>
  <c r="H1231" i="6"/>
  <c r="H1229" i="6"/>
  <c r="I1229" i="6" s="1"/>
  <c r="J1229" i="6" s="1"/>
  <c r="I1227" i="6"/>
  <c r="J1227" i="6" s="1"/>
  <c r="H1227" i="6"/>
  <c r="H1226" i="6"/>
  <c r="I1226" i="6"/>
  <c r="J1226" i="6" s="1"/>
  <c r="H1225" i="6"/>
  <c r="I1225" i="6" s="1"/>
  <c r="J1225" i="6" s="1"/>
  <c r="J1224" i="6"/>
  <c r="H1224" i="6"/>
  <c r="I1224" i="6" s="1"/>
  <c r="H1223" i="6"/>
  <c r="I1223" i="6" s="1"/>
  <c r="J1223" i="6" s="1"/>
  <c r="H1222" i="6"/>
  <c r="I1222" i="6"/>
  <c r="J1222" i="6"/>
  <c r="I1221" i="6"/>
  <c r="J1221" i="6" s="1"/>
  <c r="H1221" i="6"/>
  <c r="H1219" i="6"/>
  <c r="I1219" i="6"/>
  <c r="J1219" i="6" s="1"/>
  <c r="I1217" i="6"/>
  <c r="J1217" i="6" s="1"/>
  <c r="H1217" i="6"/>
  <c r="H1216" i="6"/>
  <c r="I1216" i="6"/>
  <c r="J1216" i="6" s="1"/>
  <c r="H1214" i="6"/>
  <c r="I1214" i="6" s="1"/>
  <c r="J1214" i="6" s="1"/>
  <c r="J1212" i="6"/>
  <c r="H1212" i="6"/>
  <c r="I1212" i="6" s="1"/>
  <c r="F1212" i="6"/>
  <c r="H1211" i="6"/>
  <c r="I1211" i="6" s="1"/>
  <c r="J1211" i="6" s="1"/>
  <c r="I1210" i="6"/>
  <c r="J1210" i="6" s="1"/>
  <c r="H1210" i="6"/>
  <c r="H1209" i="6"/>
  <c r="I1209" i="6"/>
  <c r="J1209" i="6" s="1"/>
  <c r="H1207" i="6"/>
  <c r="I1207" i="6" s="1"/>
  <c r="J1207" i="6"/>
  <c r="H1205" i="6"/>
  <c r="I1205" i="6" s="1"/>
  <c r="J1205" i="6" s="1"/>
  <c r="J1203" i="6"/>
  <c r="H1203" i="6"/>
  <c r="I1203" i="6" s="1"/>
  <c r="H1201" i="6"/>
  <c r="I1201" i="6"/>
  <c r="J1201" i="6"/>
  <c r="H1200" i="6"/>
  <c r="I1200" i="6" s="1"/>
  <c r="J1200" i="6" s="1"/>
  <c r="H1199" i="6"/>
  <c r="I1199" i="6" s="1"/>
  <c r="J1199" i="6" s="1"/>
  <c r="I1198" i="6"/>
  <c r="J1198" i="6" s="1"/>
  <c r="H1198" i="6"/>
  <c r="H1197" i="6"/>
  <c r="I1197" i="6"/>
  <c r="J1197" i="6" s="1"/>
  <c r="H1196" i="6"/>
  <c r="I1196" i="6" s="1"/>
  <c r="J1196" i="6"/>
  <c r="H1194" i="6"/>
  <c r="I1194" i="6" s="1"/>
  <c r="J1194" i="6" s="1"/>
  <c r="H1193" i="6"/>
  <c r="I1193" i="6" s="1"/>
  <c r="J1193" i="6" s="1"/>
  <c r="H1191" i="6"/>
  <c r="I1191" i="6"/>
  <c r="J1191" i="6"/>
  <c r="H1190" i="6"/>
  <c r="I1190" i="6" s="1"/>
  <c r="J1190" i="6" s="1"/>
  <c r="H1189" i="6"/>
  <c r="I1189" i="6" s="1"/>
  <c r="J1189" i="6" s="1"/>
  <c r="I1188" i="6"/>
  <c r="J1188" i="6" s="1"/>
  <c r="H1188" i="6"/>
  <c r="H1187" i="6"/>
  <c r="I1187" i="6"/>
  <c r="J1187" i="6" s="1"/>
  <c r="H1186" i="6"/>
  <c r="I1186" i="6" s="1"/>
  <c r="J1186" i="6"/>
  <c r="H1184" i="6"/>
  <c r="I1184" i="6" s="1"/>
  <c r="J1184" i="6" s="1"/>
  <c r="J1182" i="6"/>
  <c r="H1182" i="6"/>
  <c r="I1182" i="6" s="1"/>
  <c r="H1181" i="6"/>
  <c r="I1181" i="6"/>
  <c r="J1181" i="6"/>
  <c r="H1179" i="6"/>
  <c r="I1179" i="6" s="1"/>
  <c r="J1179" i="6" s="1"/>
  <c r="H1177" i="6"/>
  <c r="I1177" i="6" s="1"/>
  <c r="J1177" i="6" s="1"/>
  <c r="I1176" i="6"/>
  <c r="J1176" i="6" s="1"/>
  <c r="H1176" i="6"/>
  <c r="H1175" i="6"/>
  <c r="I1175" i="6"/>
  <c r="J1175" i="6" s="1"/>
  <c r="H1174" i="6"/>
  <c r="I1174" i="6" s="1"/>
  <c r="J1174" i="6" s="1"/>
  <c r="J1173" i="6"/>
  <c r="H1173" i="6"/>
  <c r="I1173" i="6"/>
  <c r="I1172" i="6"/>
  <c r="J1172" i="6" s="1"/>
  <c r="H1172" i="6"/>
  <c r="H1170" i="6"/>
  <c r="I1170" i="6"/>
  <c r="J1170" i="6" s="1"/>
  <c r="H1168" i="6"/>
  <c r="I1168" i="6"/>
  <c r="J1168" i="6"/>
  <c r="J1166" i="6"/>
  <c r="H1166" i="6"/>
  <c r="I1166" i="6"/>
  <c r="I1165" i="6"/>
  <c r="J1165" i="6" s="1"/>
  <c r="H1165" i="6"/>
  <c r="H1163" i="6"/>
  <c r="I1163" i="6"/>
  <c r="J1163" i="6" s="1"/>
  <c r="H1162" i="6"/>
  <c r="I1162" i="6"/>
  <c r="J1162" i="6"/>
  <c r="H1160" i="6"/>
  <c r="I1160" i="6" s="1"/>
  <c r="J1160" i="6" s="1"/>
  <c r="I1158" i="6"/>
  <c r="J1158" i="6" s="1"/>
  <c r="H1158" i="6"/>
  <c r="H1156" i="6"/>
  <c r="I1156" i="6"/>
  <c r="J1156" i="6" s="1"/>
  <c r="H1155" i="6"/>
  <c r="I1155" i="6"/>
  <c r="J1155" i="6"/>
  <c r="H1153" i="6"/>
  <c r="I1153" i="6" s="1"/>
  <c r="J1153" i="6" s="1"/>
  <c r="I1152" i="6"/>
  <c r="J1152" i="6" s="1"/>
  <c r="H1152" i="6"/>
  <c r="H1151" i="6"/>
  <c r="I1151" i="6"/>
  <c r="J1151" i="6" s="1"/>
  <c r="H1150" i="6"/>
  <c r="I1150" i="6"/>
  <c r="J1150" i="6"/>
  <c r="H1149" i="6"/>
  <c r="I1149" i="6" s="1"/>
  <c r="J1149" i="6" s="1"/>
  <c r="I1148" i="6"/>
  <c r="J1148" i="6" s="1"/>
  <c r="H1148" i="6"/>
  <c r="H1147" i="6"/>
  <c r="I1147" i="6"/>
  <c r="J1147" i="6" s="1"/>
  <c r="H1145" i="6"/>
  <c r="I1145" i="6"/>
  <c r="J1145" i="6"/>
  <c r="H1143" i="6"/>
  <c r="I1143" i="6" s="1"/>
  <c r="J1143" i="6" s="1"/>
  <c r="I1141" i="6"/>
  <c r="J1141" i="6" s="1"/>
  <c r="H1141" i="6"/>
  <c r="H1139" i="6"/>
  <c r="I1139" i="6"/>
  <c r="J1139" i="6" s="1"/>
  <c r="H1138" i="6"/>
  <c r="I1138" i="6"/>
  <c r="J1138" i="6"/>
  <c r="J1137" i="6"/>
  <c r="H1137" i="6"/>
  <c r="I1137" i="6"/>
  <c r="I1136" i="6"/>
  <c r="J1136" i="6" s="1"/>
  <c r="H1136" i="6"/>
  <c r="H1135" i="6"/>
  <c r="I1135" i="6" s="1"/>
  <c r="J1135" i="6" s="1"/>
  <c r="H1133" i="6"/>
  <c r="I1133" i="6"/>
  <c r="J1133" i="6"/>
  <c r="H1132" i="6"/>
  <c r="I1132" i="6" s="1"/>
  <c r="J1132" i="6" s="1"/>
  <c r="J1131" i="6"/>
  <c r="I1131" i="6"/>
  <c r="H1131" i="6"/>
  <c r="H1129" i="6"/>
  <c r="I1129" i="6" s="1"/>
  <c r="J1129" i="6" s="1"/>
  <c r="H1128" i="6"/>
  <c r="I1128" i="6"/>
  <c r="J1128" i="6"/>
  <c r="H1126" i="6"/>
  <c r="I1126" i="6" s="1"/>
  <c r="J1126" i="6" s="1"/>
  <c r="J1124" i="6"/>
  <c r="I1124" i="6"/>
  <c r="H1124" i="6"/>
  <c r="J1123" i="6"/>
  <c r="H1123" i="6"/>
  <c r="I1123" i="6" s="1"/>
  <c r="H1122" i="6"/>
  <c r="I1122" i="6"/>
  <c r="J1122" i="6"/>
  <c r="H1121" i="6"/>
  <c r="I1121" i="6" s="1"/>
  <c r="J1121" i="6" s="1"/>
  <c r="J1120" i="6"/>
  <c r="I1120" i="6"/>
  <c r="H1120" i="6"/>
  <c r="J1119" i="6"/>
  <c r="H1119" i="6"/>
  <c r="I1119" i="6" s="1"/>
  <c r="H1117" i="6"/>
  <c r="I1117" i="6"/>
  <c r="J1117" i="6"/>
  <c r="H1115" i="6"/>
  <c r="I1115" i="6" s="1"/>
  <c r="J1115" i="6" s="1"/>
  <c r="J1114" i="6"/>
  <c r="I1114" i="6"/>
  <c r="H1114" i="6"/>
  <c r="H1112" i="6"/>
  <c r="I1112" i="6" s="1"/>
  <c r="J1112" i="6" s="1"/>
  <c r="H1111" i="6"/>
  <c r="I1111" i="6"/>
  <c r="J1111" i="6"/>
  <c r="H1109" i="6"/>
  <c r="I1109" i="6" s="1"/>
  <c r="J1109" i="6" s="1"/>
  <c r="J1107" i="6"/>
  <c r="I1107" i="6"/>
  <c r="H1107" i="6"/>
  <c r="H1106" i="6"/>
  <c r="I1106" i="6" s="1"/>
  <c r="J1106" i="6" s="1"/>
  <c r="H1104" i="6"/>
  <c r="I1104" i="6"/>
  <c r="J1104" i="6"/>
  <c r="H1102" i="6"/>
  <c r="I1102" i="6" s="1"/>
  <c r="J1102" i="6" s="1"/>
  <c r="J1100" i="6"/>
  <c r="I1100" i="6"/>
  <c r="H1100" i="6"/>
  <c r="J1099" i="6"/>
  <c r="H1099" i="6"/>
  <c r="I1099" i="6" s="1"/>
  <c r="H1098" i="6"/>
  <c r="I1098" i="6"/>
  <c r="J1098" i="6"/>
  <c r="H1096" i="6"/>
  <c r="I1096" i="6" s="1"/>
  <c r="J1096" i="6" s="1"/>
  <c r="J1095" i="6"/>
  <c r="I1095" i="6"/>
  <c r="H1095" i="6"/>
  <c r="J1094" i="6"/>
  <c r="H1094" i="6"/>
  <c r="I1094" i="6" s="1"/>
  <c r="H1093" i="6"/>
  <c r="I1093" i="6"/>
  <c r="J1093" i="6"/>
  <c r="H1092" i="6"/>
  <c r="I1092" i="6" s="1"/>
  <c r="J1092" i="6" s="1"/>
  <c r="J1091" i="6"/>
  <c r="I1091" i="6"/>
  <c r="H1091" i="6"/>
  <c r="H1089" i="6"/>
  <c r="I1089" i="6" s="1"/>
  <c r="J1089" i="6" s="1"/>
  <c r="H1088" i="6"/>
  <c r="I1088" i="6"/>
  <c r="J1088" i="6"/>
  <c r="H1087" i="6"/>
  <c r="I1087" i="6" s="1"/>
  <c r="J1087" i="6" s="1"/>
  <c r="J1085" i="6"/>
  <c r="I1085" i="6"/>
  <c r="H1085" i="6"/>
  <c r="H1083" i="6"/>
  <c r="I1083" i="6" s="1"/>
  <c r="J1083" i="6" s="1"/>
  <c r="H1082" i="6"/>
  <c r="I1082" i="6"/>
  <c r="J1082" i="6"/>
  <c r="H1081" i="6"/>
  <c r="I1081" i="6" s="1"/>
  <c r="J1081" i="6" s="1"/>
  <c r="J1080" i="6"/>
  <c r="I1080" i="6"/>
  <c r="H1080" i="6"/>
  <c r="J1079" i="6"/>
  <c r="H1079" i="6"/>
  <c r="I1079" i="6" s="1"/>
  <c r="H1078" i="6"/>
  <c r="I1078" i="6"/>
  <c r="J1078" i="6"/>
  <c r="H1077" i="6"/>
  <c r="I1077" i="6" s="1"/>
  <c r="J1077" i="6" s="1"/>
  <c r="J1076" i="6"/>
  <c r="I1076" i="6"/>
  <c r="H1076" i="6"/>
  <c r="J1075" i="6"/>
  <c r="H1075" i="6"/>
  <c r="I1075" i="6" s="1"/>
  <c r="H1074" i="6"/>
  <c r="I1074" i="6"/>
  <c r="J1074" i="6"/>
  <c r="H1072" i="6"/>
  <c r="I1072" i="6" s="1"/>
  <c r="J1072" i="6" s="1"/>
  <c r="J1071" i="6"/>
  <c r="I1071" i="6"/>
  <c r="H1071" i="6"/>
  <c r="H1070" i="6"/>
  <c r="I1070" i="6" s="1"/>
  <c r="J1070" i="6" s="1"/>
  <c r="H1069" i="6"/>
  <c r="I1069" i="6"/>
  <c r="J1069" i="6"/>
  <c r="H1068" i="6"/>
  <c r="I1068" i="6" s="1"/>
  <c r="J1068" i="6" s="1"/>
  <c r="J1067" i="6"/>
  <c r="I1067" i="6"/>
  <c r="H1067" i="6"/>
  <c r="H1066" i="6"/>
  <c r="I1066" i="6" s="1"/>
  <c r="J1066" i="6" s="1"/>
  <c r="H1065" i="6"/>
  <c r="I1065" i="6"/>
  <c r="J1065" i="6"/>
  <c r="H1064" i="6"/>
  <c r="I1064" i="6" s="1"/>
  <c r="J1064" i="6" s="1"/>
  <c r="J1063" i="6"/>
  <c r="I1063" i="6"/>
  <c r="H1063" i="6"/>
  <c r="J1062" i="6"/>
  <c r="H1062" i="6"/>
  <c r="I1062" i="6" s="1"/>
  <c r="H1061" i="6"/>
  <c r="I1061" i="6"/>
  <c r="J1061" i="6"/>
  <c r="H1060" i="6"/>
  <c r="I1060" i="6" s="1"/>
  <c r="J1060" i="6" s="1"/>
  <c r="J1058" i="6"/>
  <c r="I1058" i="6"/>
  <c r="H1058" i="6"/>
  <c r="J1056" i="6"/>
  <c r="H1056" i="6"/>
  <c r="I1056" i="6" s="1"/>
  <c r="H1054" i="6"/>
  <c r="I1054" i="6"/>
  <c r="J1054" i="6"/>
  <c r="H1052" i="6"/>
  <c r="I1052" i="6" s="1"/>
  <c r="J1052" i="6" s="1"/>
  <c r="J1051" i="6"/>
  <c r="I1051" i="6"/>
  <c r="H1051" i="6"/>
  <c r="H1050" i="6"/>
  <c r="I1050" i="6" s="1"/>
  <c r="J1050" i="6" s="1"/>
  <c r="H1049" i="6"/>
  <c r="I1049" i="6"/>
  <c r="J1049" i="6"/>
  <c r="F1048" i="6"/>
  <c r="H1048" i="6" s="1"/>
  <c r="I1048" i="6" s="1"/>
  <c r="J1048" i="6"/>
  <c r="H1047" i="6"/>
  <c r="I1047" i="6" s="1"/>
  <c r="J1047" i="6" s="1"/>
  <c r="J1045" i="6"/>
  <c r="I1045" i="6"/>
  <c r="H1045" i="6"/>
  <c r="J1043" i="6"/>
  <c r="H1043" i="6"/>
  <c r="I1043" i="6" s="1"/>
  <c r="H1041" i="6"/>
  <c r="I1041" i="6"/>
  <c r="J1041" i="6"/>
  <c r="H1039" i="6"/>
  <c r="I1039" i="6" s="1"/>
  <c r="J1039" i="6" s="1"/>
  <c r="J1037" i="6"/>
  <c r="I1037" i="6"/>
  <c r="H1037" i="6"/>
  <c r="H1036" i="6"/>
  <c r="I1036" i="6" s="1"/>
  <c r="J1036" i="6" s="1"/>
  <c r="H1035" i="6"/>
  <c r="I1035" i="6"/>
  <c r="J1035" i="6"/>
  <c r="H1034" i="6"/>
  <c r="I1034" i="6" s="1"/>
  <c r="J1034" i="6" s="1"/>
  <c r="J1032" i="6"/>
  <c r="I1032" i="6"/>
  <c r="H1032" i="6"/>
  <c r="H1030" i="6"/>
  <c r="I1030" i="6" s="1"/>
  <c r="J1030" i="6" s="1"/>
  <c r="H1028" i="6"/>
  <c r="I1028" i="6"/>
  <c r="J1028" i="6"/>
  <c r="H1026" i="6"/>
  <c r="I1026" i="6" s="1"/>
  <c r="J1026" i="6" s="1"/>
  <c r="J1025" i="6"/>
  <c r="I1025" i="6"/>
  <c r="H1025" i="6"/>
  <c r="J1024" i="6"/>
  <c r="H1024" i="6"/>
  <c r="I1024" i="6" s="1"/>
  <c r="H1023" i="6"/>
  <c r="I1023" i="6"/>
  <c r="J1023" i="6"/>
  <c r="H1022" i="6"/>
  <c r="I1022" i="6" s="1"/>
  <c r="J1022" i="6" s="1"/>
  <c r="J1021" i="6"/>
  <c r="I1021" i="6"/>
  <c r="H1021" i="6"/>
  <c r="J1020" i="6"/>
  <c r="H1020" i="6"/>
  <c r="I1020" i="6" s="1"/>
  <c r="H1019" i="6"/>
  <c r="I1019" i="6"/>
  <c r="J1019" i="6"/>
  <c r="H1018" i="6"/>
  <c r="I1018" i="6" s="1"/>
  <c r="J1018" i="6" s="1"/>
  <c r="J1017" i="6"/>
  <c r="I1017" i="6"/>
  <c r="H1017" i="6"/>
  <c r="H1016" i="6"/>
  <c r="I1016" i="6" s="1"/>
  <c r="J1016" i="6" s="1"/>
  <c r="H1015" i="6"/>
  <c r="I1015" i="6"/>
  <c r="J1015" i="6"/>
  <c r="H1014" i="6"/>
  <c r="I1014" i="6" s="1"/>
  <c r="J1014" i="6" s="1"/>
  <c r="J1013" i="6"/>
  <c r="I1013" i="6"/>
  <c r="H1013" i="6"/>
  <c r="H1011" i="6"/>
  <c r="I1011" i="6" s="1"/>
  <c r="J1011" i="6" s="1"/>
  <c r="H1009" i="6"/>
  <c r="I1009" i="6"/>
  <c r="J1008" i="6"/>
  <c r="I1008" i="6"/>
  <c r="H1008" i="6"/>
  <c r="H1007" i="6"/>
  <c r="I1007" i="6" s="1"/>
  <c r="J1007" i="6" s="1"/>
  <c r="H1006" i="6"/>
  <c r="I1006" i="6"/>
  <c r="J1006" i="6"/>
  <c r="H1005" i="6"/>
  <c r="I1005" i="6" s="1"/>
  <c r="J1005" i="6" s="1"/>
  <c r="J1004" i="6"/>
  <c r="I1004" i="6"/>
  <c r="H1004" i="6"/>
  <c r="H1003" i="6"/>
  <c r="I1003" i="6" s="1"/>
  <c r="J1003" i="6" s="1"/>
  <c r="H1002" i="6"/>
  <c r="I1002" i="6"/>
  <c r="J1002" i="6"/>
  <c r="H1001" i="6"/>
  <c r="I1001" i="6" s="1"/>
  <c r="J1001" i="6" s="1"/>
  <c r="J1000" i="6"/>
  <c r="I1000" i="6"/>
  <c r="H1000" i="6"/>
  <c r="J999" i="6"/>
  <c r="H999" i="6"/>
  <c r="I999" i="6" s="1"/>
  <c r="H998" i="6"/>
  <c r="I998" i="6"/>
  <c r="J998" i="6"/>
  <c r="H997" i="6"/>
  <c r="I997" i="6" s="1"/>
  <c r="J997" i="6" s="1"/>
  <c r="J996" i="6"/>
  <c r="I996" i="6"/>
  <c r="H996" i="6"/>
  <c r="J995" i="6"/>
  <c r="H995" i="6"/>
  <c r="I995" i="6" s="1"/>
  <c r="H994" i="6"/>
  <c r="I994" i="6"/>
  <c r="J994" i="6"/>
  <c r="H993" i="6"/>
  <c r="I993" i="6" s="1"/>
  <c r="J993" i="6" s="1"/>
  <c r="J992" i="6"/>
  <c r="I992" i="6"/>
  <c r="H992" i="6"/>
  <c r="H991" i="6"/>
  <c r="I991" i="6" s="1"/>
  <c r="J991" i="6" s="1"/>
  <c r="H990" i="6"/>
  <c r="I990" i="6"/>
  <c r="J990" i="6"/>
  <c r="H989" i="6"/>
  <c r="I989" i="6" s="1"/>
  <c r="J989" i="6" s="1"/>
  <c r="J988" i="6"/>
  <c r="I988" i="6"/>
  <c r="H988" i="6"/>
  <c r="H987" i="6"/>
  <c r="I987" i="6" s="1"/>
  <c r="J987" i="6" s="1"/>
  <c r="H986" i="6"/>
  <c r="I986" i="6"/>
  <c r="J986" i="6"/>
  <c r="H985" i="6"/>
  <c r="I985" i="6" s="1"/>
  <c r="J985" i="6" s="1"/>
  <c r="J984" i="6"/>
  <c r="I984" i="6"/>
  <c r="H984" i="6"/>
  <c r="J983" i="6"/>
  <c r="H983" i="6"/>
  <c r="I983" i="6" s="1"/>
  <c r="H982" i="6"/>
  <c r="I982" i="6"/>
  <c r="J982" i="6"/>
  <c r="H981" i="6"/>
  <c r="I981" i="6" s="1"/>
  <c r="J981" i="6" s="1"/>
  <c r="J980" i="6"/>
  <c r="I980" i="6"/>
  <c r="H980" i="6"/>
  <c r="J979" i="6"/>
  <c r="H979" i="6"/>
  <c r="I979" i="6" s="1"/>
  <c r="H978" i="6"/>
  <c r="I978" i="6"/>
  <c r="J978" i="6"/>
  <c r="H977" i="6"/>
  <c r="I977" i="6" s="1"/>
  <c r="J977" i="6" s="1"/>
  <c r="J976" i="6"/>
  <c r="I976" i="6"/>
  <c r="H976" i="6"/>
  <c r="H975" i="6"/>
  <c r="I975" i="6" s="1"/>
  <c r="J975" i="6" s="1"/>
  <c r="H974" i="6"/>
  <c r="I974" i="6"/>
  <c r="J974" i="6"/>
  <c r="H973" i="6"/>
  <c r="I973" i="6" s="1"/>
  <c r="J973" i="6" s="1"/>
  <c r="J972" i="6"/>
  <c r="I972" i="6"/>
  <c r="H972" i="6"/>
  <c r="H971" i="6"/>
  <c r="I971" i="6" s="1"/>
  <c r="J971" i="6" s="1"/>
  <c r="H970" i="6"/>
  <c r="I970" i="6"/>
  <c r="J970" i="6"/>
  <c r="H969" i="6"/>
  <c r="I969" i="6" s="1"/>
  <c r="J969" i="6" s="1"/>
  <c r="J968" i="6"/>
  <c r="I968" i="6"/>
  <c r="H968" i="6"/>
  <c r="J967" i="6"/>
  <c r="H967" i="6"/>
  <c r="I967" i="6" s="1"/>
  <c r="H966" i="6"/>
  <c r="I966" i="6"/>
  <c r="J966" i="6"/>
  <c r="H965" i="6"/>
  <c r="I965" i="6" s="1"/>
  <c r="J965" i="6" s="1"/>
  <c r="J964" i="6"/>
  <c r="I964" i="6"/>
  <c r="H964" i="6"/>
  <c r="J963" i="6"/>
  <c r="H963" i="6"/>
  <c r="I963" i="6" s="1"/>
  <c r="H962" i="6"/>
  <c r="I962" i="6"/>
  <c r="J962" i="6"/>
  <c r="H961" i="6"/>
  <c r="I961" i="6" s="1"/>
  <c r="J961" i="6" s="1"/>
  <c r="J960" i="6"/>
  <c r="I960" i="6"/>
  <c r="H960" i="6"/>
  <c r="H959" i="6"/>
  <c r="I959" i="6" s="1"/>
  <c r="J959" i="6" s="1"/>
  <c r="J958" i="6"/>
  <c r="F958" i="6"/>
  <c r="H958" i="6" s="1"/>
  <c r="I958" i="6" s="1"/>
  <c r="H957" i="6"/>
  <c r="I957" i="6"/>
  <c r="J957" i="6"/>
  <c r="H956" i="6"/>
  <c r="I956" i="6" s="1"/>
  <c r="J956" i="6" s="1"/>
  <c r="J955" i="6"/>
  <c r="I955" i="6"/>
  <c r="H955" i="6"/>
  <c r="J954" i="6"/>
  <c r="H954" i="6"/>
  <c r="I954" i="6" s="1"/>
  <c r="H953" i="6"/>
  <c r="I953" i="6"/>
  <c r="J953" i="6"/>
  <c r="H952" i="6"/>
  <c r="I952" i="6" s="1"/>
  <c r="J952" i="6" s="1"/>
  <c r="J951" i="6"/>
  <c r="I951" i="6"/>
  <c r="H951" i="6"/>
  <c r="H950" i="6"/>
  <c r="I950" i="6" s="1"/>
  <c r="J950" i="6" s="1"/>
  <c r="H949" i="6"/>
  <c r="I949" i="6"/>
  <c r="J949" i="6"/>
  <c r="H948" i="6"/>
  <c r="I948" i="6" s="1"/>
  <c r="J948" i="6" s="1"/>
  <c r="J947" i="6"/>
  <c r="I947" i="6"/>
  <c r="H947" i="6"/>
  <c r="H946" i="6"/>
  <c r="I946" i="6" s="1"/>
  <c r="J946" i="6" s="1"/>
  <c r="H945" i="6"/>
  <c r="I945" i="6"/>
  <c r="J945" i="6"/>
  <c r="H944" i="6"/>
  <c r="I944" i="6" s="1"/>
  <c r="J944" i="6" s="1"/>
  <c r="J943" i="6"/>
  <c r="I943" i="6"/>
  <c r="H943" i="6"/>
  <c r="J942" i="6"/>
  <c r="H942" i="6"/>
  <c r="I942" i="6" s="1"/>
  <c r="H941" i="6"/>
  <c r="I941" i="6"/>
  <c r="J941" i="6"/>
  <c r="H940" i="6"/>
  <c r="I940" i="6" s="1"/>
  <c r="J940" i="6" s="1"/>
  <c r="J939" i="6"/>
  <c r="I939" i="6"/>
  <c r="H939" i="6"/>
  <c r="J938" i="6"/>
  <c r="H938" i="6"/>
  <c r="I938" i="6" s="1"/>
  <c r="H937" i="6"/>
  <c r="I937" i="6"/>
  <c r="J937" i="6"/>
  <c r="H936" i="6"/>
  <c r="I936" i="6" s="1"/>
  <c r="J936" i="6" s="1"/>
  <c r="J935" i="6"/>
  <c r="I935" i="6"/>
  <c r="H935" i="6"/>
  <c r="H934" i="6"/>
  <c r="I934" i="6" s="1"/>
  <c r="J934" i="6" s="1"/>
  <c r="H933" i="6"/>
  <c r="I933" i="6"/>
  <c r="J933" i="6"/>
  <c r="H932" i="6"/>
  <c r="I932" i="6" s="1"/>
  <c r="J932" i="6" s="1"/>
  <c r="J931" i="6"/>
  <c r="I931" i="6"/>
  <c r="H931" i="6"/>
  <c r="H930" i="6"/>
  <c r="I930" i="6" s="1"/>
  <c r="J930" i="6" s="1"/>
  <c r="H929" i="6"/>
  <c r="I929" i="6"/>
  <c r="J929" i="6"/>
  <c r="H928" i="6"/>
  <c r="I928" i="6" s="1"/>
  <c r="J928" i="6" s="1"/>
  <c r="J927" i="6"/>
  <c r="I927" i="6"/>
  <c r="H927" i="6"/>
  <c r="J926" i="6"/>
  <c r="H926" i="6"/>
  <c r="I926" i="6" s="1"/>
  <c r="H925" i="6"/>
  <c r="I925" i="6"/>
  <c r="J925" i="6"/>
  <c r="H924" i="6"/>
  <c r="I924" i="6" s="1"/>
  <c r="J924" i="6" s="1"/>
  <c r="J923" i="6"/>
  <c r="I923" i="6"/>
  <c r="H923" i="6"/>
  <c r="J922" i="6"/>
  <c r="H922" i="6"/>
  <c r="I922" i="6" s="1"/>
  <c r="H921" i="6"/>
  <c r="I921" i="6"/>
  <c r="J921" i="6"/>
  <c r="H920" i="6"/>
  <c r="I920" i="6" s="1"/>
  <c r="J920" i="6" s="1"/>
  <c r="J919" i="6"/>
  <c r="I919" i="6"/>
  <c r="H919" i="6"/>
  <c r="H918" i="6"/>
  <c r="I918" i="6" s="1"/>
  <c r="J918" i="6" s="1"/>
  <c r="H917" i="6"/>
  <c r="I917" i="6"/>
  <c r="J917" i="6"/>
  <c r="H916" i="6"/>
  <c r="I916" i="6" s="1"/>
  <c r="J916" i="6" s="1"/>
  <c r="J915" i="6"/>
  <c r="I915" i="6"/>
  <c r="H915" i="6"/>
  <c r="H914" i="6"/>
  <c r="I914" i="6" s="1"/>
  <c r="J914" i="6" s="1"/>
  <c r="H913" i="6"/>
  <c r="I913" i="6"/>
  <c r="J913" i="6"/>
  <c r="H912" i="6"/>
  <c r="I912" i="6" s="1"/>
  <c r="J912" i="6" s="1"/>
  <c r="J911" i="6"/>
  <c r="I911" i="6"/>
  <c r="H911" i="6"/>
  <c r="J910" i="6"/>
  <c r="H910" i="6"/>
  <c r="I910" i="6" s="1"/>
  <c r="F910" i="6"/>
  <c r="H908" i="6"/>
  <c r="I908" i="6" s="1"/>
  <c r="J908" i="6" s="1"/>
  <c r="H906" i="6"/>
  <c r="I906" i="6"/>
  <c r="J906" i="6"/>
  <c r="H905" i="6"/>
  <c r="I905" i="6" s="1"/>
  <c r="J905" i="6" s="1"/>
  <c r="J904" i="6"/>
  <c r="I904" i="6"/>
  <c r="H904" i="6"/>
  <c r="J903" i="6"/>
  <c r="H903" i="6"/>
  <c r="I903" i="6" s="1"/>
  <c r="H901" i="6"/>
  <c r="I901" i="6"/>
  <c r="J901" i="6"/>
  <c r="H899" i="6"/>
  <c r="I899" i="6" s="1"/>
  <c r="J899" i="6" s="1"/>
  <c r="J898" i="6"/>
  <c r="I898" i="6"/>
  <c r="H898" i="6"/>
  <c r="H897" i="6"/>
  <c r="I897" i="6"/>
  <c r="J897" i="6" s="1"/>
  <c r="H895" i="6"/>
  <c r="I895" i="6"/>
  <c r="J895" i="6"/>
  <c r="J893" i="6"/>
  <c r="H893" i="6"/>
  <c r="I893" i="6"/>
  <c r="H892" i="6"/>
  <c r="I892" i="6" s="1"/>
  <c r="J892" i="6" s="1"/>
  <c r="H890" i="6"/>
  <c r="I890" i="6"/>
  <c r="J890" i="6" s="1"/>
  <c r="H888" i="6"/>
  <c r="I888" i="6" s="1"/>
  <c r="J888" i="6" s="1"/>
  <c r="H887" i="6"/>
  <c r="I887" i="6" s="1"/>
  <c r="J887" i="6" s="1"/>
  <c r="I886" i="6"/>
  <c r="J886" i="6" s="1"/>
  <c r="H886" i="6"/>
  <c r="H885" i="6"/>
  <c r="I885" i="6" s="1"/>
  <c r="J885" i="6" s="1"/>
  <c r="H884" i="6"/>
  <c r="I884" i="6" s="1"/>
  <c r="J884" i="6" s="1"/>
  <c r="H883" i="6"/>
  <c r="I883" i="6" s="1"/>
  <c r="J883" i="6" s="1"/>
  <c r="I882" i="6"/>
  <c r="J882" i="6" s="1"/>
  <c r="H882" i="6"/>
  <c r="H881" i="6"/>
  <c r="I881" i="6"/>
  <c r="J881" i="6" s="1"/>
  <c r="H880" i="6"/>
  <c r="I880" i="6" s="1"/>
  <c r="J880" i="6" s="1"/>
  <c r="H879" i="6"/>
  <c r="I879" i="6" s="1"/>
  <c r="J879" i="6" s="1"/>
  <c r="I878" i="6"/>
  <c r="J878" i="6" s="1"/>
  <c r="H878" i="6"/>
  <c r="H877" i="6"/>
  <c r="I877" i="6"/>
  <c r="J877" i="6" s="1"/>
  <c r="H876" i="6"/>
  <c r="I876" i="6" s="1"/>
  <c r="J876" i="6" s="1"/>
  <c r="H875" i="6"/>
  <c r="I875" i="6" s="1"/>
  <c r="J875" i="6" s="1"/>
  <c r="I874" i="6"/>
  <c r="J874" i="6" s="1"/>
  <c r="H874" i="6"/>
  <c r="H873" i="6"/>
  <c r="I873" i="6" s="1"/>
  <c r="J873" i="6" s="1"/>
  <c r="H872" i="6"/>
  <c r="I872" i="6" s="1"/>
  <c r="J872" i="6" s="1"/>
  <c r="H871" i="6"/>
  <c r="I871" i="6" s="1"/>
  <c r="J871" i="6" s="1"/>
  <c r="I870" i="6"/>
  <c r="J870" i="6" s="1"/>
  <c r="H870" i="6"/>
  <c r="H869" i="6"/>
  <c r="I869" i="6" s="1"/>
  <c r="J869" i="6" s="1"/>
  <c r="H868" i="6"/>
  <c r="I868" i="6" s="1"/>
  <c r="J868" i="6" s="1"/>
  <c r="H867" i="6"/>
  <c r="I867" i="6" s="1"/>
  <c r="J867" i="6" s="1"/>
  <c r="I866" i="6"/>
  <c r="J866" i="6" s="1"/>
  <c r="H866" i="6"/>
  <c r="H865" i="6"/>
  <c r="I865" i="6"/>
  <c r="J865" i="6" s="1"/>
  <c r="H864" i="6"/>
  <c r="I864" i="6" s="1"/>
  <c r="J864" i="6" s="1"/>
  <c r="H863" i="6"/>
  <c r="I863" i="6" s="1"/>
  <c r="J863" i="6" s="1"/>
  <c r="I862" i="6"/>
  <c r="J862" i="6" s="1"/>
  <c r="H862" i="6"/>
  <c r="H861" i="6"/>
  <c r="I861" i="6"/>
  <c r="J861" i="6" s="1"/>
  <c r="H860" i="6"/>
  <c r="I860" i="6" s="1"/>
  <c r="J860" i="6" s="1"/>
  <c r="H859" i="6"/>
  <c r="I859" i="6" s="1"/>
  <c r="J859" i="6" s="1"/>
  <c r="I858" i="6"/>
  <c r="J858" i="6" s="1"/>
  <c r="H858" i="6"/>
  <c r="H857" i="6"/>
  <c r="I857" i="6" s="1"/>
  <c r="J857" i="6" s="1"/>
  <c r="H856" i="6"/>
  <c r="I856" i="6" s="1"/>
  <c r="J856" i="6" s="1"/>
  <c r="H855" i="6"/>
  <c r="I855" i="6" s="1"/>
  <c r="J855" i="6" s="1"/>
  <c r="I854" i="6"/>
  <c r="J854" i="6" s="1"/>
  <c r="H854" i="6"/>
  <c r="H853" i="6"/>
  <c r="I853" i="6" s="1"/>
  <c r="J853" i="6" s="1"/>
  <c r="H852" i="6"/>
  <c r="I852" i="6" s="1"/>
  <c r="J852" i="6" s="1"/>
  <c r="H851" i="6"/>
  <c r="I851" i="6" s="1"/>
  <c r="J851" i="6" s="1"/>
  <c r="I850" i="6"/>
  <c r="J850" i="6" s="1"/>
  <c r="H850" i="6"/>
  <c r="H849" i="6"/>
  <c r="I849" i="6"/>
  <c r="J849" i="6" s="1"/>
  <c r="H848" i="6"/>
  <c r="I848" i="6" s="1"/>
  <c r="J848" i="6" s="1"/>
  <c r="H847" i="6"/>
  <c r="I847" i="6" s="1"/>
  <c r="J847" i="6" s="1"/>
  <c r="I846" i="6"/>
  <c r="J846" i="6" s="1"/>
  <c r="H846" i="6"/>
  <c r="H845" i="6"/>
  <c r="I845" i="6"/>
  <c r="J845" i="6" s="1"/>
  <c r="H844" i="6"/>
  <c r="I844" i="6" s="1"/>
  <c r="J844" i="6" s="1"/>
  <c r="H843" i="6"/>
  <c r="I843" i="6" s="1"/>
  <c r="J843" i="6" s="1"/>
  <c r="I842" i="6"/>
  <c r="J842" i="6" s="1"/>
  <c r="H842" i="6"/>
  <c r="H841" i="6"/>
  <c r="I841" i="6" s="1"/>
  <c r="J841" i="6" s="1"/>
  <c r="F840" i="6"/>
  <c r="H840" i="6" s="1"/>
  <c r="I840" i="6"/>
  <c r="J840" i="6" s="1"/>
  <c r="H839" i="6"/>
  <c r="I839" i="6" s="1"/>
  <c r="J839" i="6" s="1"/>
  <c r="H837" i="6"/>
  <c r="I837" i="6" s="1"/>
  <c r="J837" i="6" s="1"/>
  <c r="I836" i="6"/>
  <c r="J836" i="6" s="1"/>
  <c r="H836" i="6"/>
  <c r="H835" i="6"/>
  <c r="I835" i="6"/>
  <c r="J835" i="6" s="1"/>
  <c r="H833" i="6"/>
  <c r="I833" i="6" s="1"/>
  <c r="J833" i="6" s="1"/>
  <c r="H832" i="6"/>
  <c r="I832" i="6" s="1"/>
  <c r="J832" i="6" s="1"/>
  <c r="I831" i="6"/>
  <c r="J831" i="6" s="1"/>
  <c r="H831" i="6"/>
  <c r="H830" i="6"/>
  <c r="I830" i="6"/>
  <c r="J830" i="6" s="1"/>
  <c r="H828" i="6"/>
  <c r="I828" i="6" s="1"/>
  <c r="J828" i="6" s="1"/>
  <c r="H826" i="6"/>
  <c r="I826" i="6" s="1"/>
  <c r="J826" i="6" s="1"/>
  <c r="I825" i="6"/>
  <c r="J825" i="6" s="1"/>
  <c r="H825" i="6"/>
  <c r="H824" i="6"/>
  <c r="I824" i="6"/>
  <c r="J824" i="6" s="1"/>
  <c r="H823" i="6"/>
  <c r="I823" i="6" s="1"/>
  <c r="J823" i="6" s="1"/>
  <c r="H822" i="6"/>
  <c r="I822" i="6" s="1"/>
  <c r="J822" i="6" s="1"/>
  <c r="I821" i="6"/>
  <c r="J821" i="6" s="1"/>
  <c r="H821" i="6"/>
  <c r="H820" i="6"/>
  <c r="I820" i="6"/>
  <c r="J820" i="6" s="1"/>
  <c r="H819" i="6"/>
  <c r="I819" i="6" s="1"/>
  <c r="J819" i="6" s="1"/>
  <c r="H818" i="6"/>
  <c r="I818" i="6" s="1"/>
  <c r="J818" i="6" s="1"/>
  <c r="I817" i="6"/>
  <c r="J817" i="6" s="1"/>
  <c r="H817" i="6"/>
  <c r="H816" i="6"/>
  <c r="I816" i="6"/>
  <c r="J816" i="6" s="1"/>
  <c r="H815" i="6"/>
  <c r="I815" i="6" s="1"/>
  <c r="J815" i="6" s="1"/>
  <c r="H814" i="6"/>
  <c r="I814" i="6" s="1"/>
  <c r="J814" i="6" s="1"/>
  <c r="I813" i="6"/>
  <c r="J813" i="6" s="1"/>
  <c r="H813" i="6"/>
  <c r="H812" i="6"/>
  <c r="I812" i="6"/>
  <c r="J812" i="6" s="1"/>
  <c r="H811" i="6"/>
  <c r="I811" i="6" s="1"/>
  <c r="J811" i="6" s="1"/>
  <c r="H810" i="6"/>
  <c r="I810" i="6" s="1"/>
  <c r="J810" i="6" s="1"/>
  <c r="I809" i="6"/>
  <c r="J809" i="6" s="1"/>
  <c r="H809" i="6"/>
  <c r="H808" i="6"/>
  <c r="I808" i="6"/>
  <c r="J808" i="6" s="1"/>
  <c r="H807" i="6"/>
  <c r="I807" i="6" s="1"/>
  <c r="J807" i="6" s="1"/>
  <c r="H806" i="6"/>
  <c r="I806" i="6" s="1"/>
  <c r="J806" i="6" s="1"/>
  <c r="I805" i="6"/>
  <c r="J805" i="6" s="1"/>
  <c r="H805" i="6"/>
  <c r="H804" i="6"/>
  <c r="I804" i="6"/>
  <c r="J804" i="6" s="1"/>
  <c r="H803" i="6"/>
  <c r="I803" i="6" s="1"/>
  <c r="J803" i="6" s="1"/>
  <c r="H802" i="6"/>
  <c r="I802" i="6" s="1"/>
  <c r="J802" i="6" s="1"/>
  <c r="I800" i="6"/>
  <c r="J800" i="6" s="1"/>
  <c r="H800" i="6"/>
  <c r="H799" i="6"/>
  <c r="I799" i="6"/>
  <c r="J799" i="6" s="1"/>
  <c r="H798" i="6"/>
  <c r="I798" i="6" s="1"/>
  <c r="J798" i="6" s="1"/>
  <c r="H796" i="6"/>
  <c r="I796" i="6" s="1"/>
  <c r="J796" i="6" s="1"/>
  <c r="I795" i="6"/>
  <c r="J795" i="6" s="1"/>
  <c r="H795" i="6"/>
  <c r="H793" i="6"/>
  <c r="I793" i="6"/>
  <c r="J793" i="6" s="1"/>
  <c r="H792" i="6"/>
  <c r="I792" i="6" s="1"/>
  <c r="J792" i="6" s="1"/>
  <c r="F791" i="6"/>
  <c r="H791" i="6" s="1"/>
  <c r="I791" i="6" s="1"/>
  <c r="J791" i="6" s="1"/>
  <c r="J790" i="6"/>
  <c r="F790" i="6"/>
  <c r="H790" i="6" s="1"/>
  <c r="I790" i="6" s="1"/>
  <c r="J789" i="6"/>
  <c r="H789" i="6"/>
  <c r="I789" i="6"/>
  <c r="F788" i="6"/>
  <c r="H788" i="6"/>
  <c r="I788" i="6" s="1"/>
  <c r="J788" i="6" s="1"/>
  <c r="I787" i="6"/>
  <c r="J787" i="6" s="1"/>
  <c r="H787" i="6"/>
  <c r="H786" i="6"/>
  <c r="I786" i="6"/>
  <c r="J786" i="6" s="1"/>
  <c r="H785" i="6"/>
  <c r="I785" i="6" s="1"/>
  <c r="J785" i="6" s="1"/>
  <c r="H784" i="6"/>
  <c r="I784" i="6" s="1"/>
  <c r="J784" i="6" s="1"/>
  <c r="I782" i="6"/>
  <c r="J782" i="6" s="1"/>
  <c r="H782" i="6"/>
  <c r="H780" i="6"/>
  <c r="I780" i="6"/>
  <c r="J780" i="6" s="1"/>
  <c r="H779" i="6"/>
  <c r="I779" i="6" s="1"/>
  <c r="J779" i="6" s="1"/>
  <c r="H778" i="6"/>
  <c r="I778" i="6" s="1"/>
  <c r="J778" i="6" s="1"/>
  <c r="I776" i="6"/>
  <c r="J776" i="6" s="1"/>
  <c r="H776" i="6"/>
  <c r="H775" i="6"/>
  <c r="I775" i="6"/>
  <c r="J775" i="6" s="1"/>
  <c r="H774" i="6"/>
  <c r="I774" i="6" s="1"/>
  <c r="J774" i="6" s="1"/>
  <c r="H773" i="6"/>
  <c r="I773" i="6" s="1"/>
  <c r="J773" i="6" s="1"/>
  <c r="I771" i="6"/>
  <c r="J771" i="6" s="1"/>
  <c r="H771" i="6"/>
  <c r="H769" i="6"/>
  <c r="I769" i="6"/>
  <c r="J769" i="6" s="1"/>
  <c r="H768" i="6"/>
  <c r="I768" i="6" s="1"/>
  <c r="J768" i="6" s="1"/>
  <c r="H767" i="6"/>
  <c r="I767" i="6" s="1"/>
  <c r="J767" i="6"/>
  <c r="H766" i="6"/>
  <c r="I766" i="6" s="1"/>
  <c r="J766" i="6" s="1"/>
  <c r="H765" i="6"/>
  <c r="I765" i="6" s="1"/>
  <c r="J765" i="6" s="1"/>
  <c r="I764" i="6"/>
  <c r="J764" i="6"/>
  <c r="H764" i="6"/>
  <c r="H763" i="6"/>
  <c r="I763" i="6"/>
  <c r="J763" i="6"/>
  <c r="H762" i="6"/>
  <c r="I762" i="6" s="1"/>
  <c r="J762" i="6" s="1"/>
  <c r="H761" i="6"/>
  <c r="I761" i="6" s="1"/>
  <c r="J761" i="6" s="1"/>
  <c r="I760" i="6"/>
  <c r="J760" i="6"/>
  <c r="H760" i="6"/>
  <c r="H759" i="6"/>
  <c r="I759" i="6"/>
  <c r="J759" i="6"/>
  <c r="H758" i="6"/>
  <c r="I758" i="6" s="1"/>
  <c r="J758" i="6" s="1"/>
  <c r="H757" i="6"/>
  <c r="I757" i="6" s="1"/>
  <c r="J757" i="6" s="1"/>
  <c r="I756" i="6"/>
  <c r="J756" i="6"/>
  <c r="H756" i="6"/>
  <c r="H755" i="6"/>
  <c r="I755" i="6"/>
  <c r="J755" i="6"/>
  <c r="H754" i="6"/>
  <c r="I754" i="6" s="1"/>
  <c r="J754" i="6" s="1"/>
  <c r="H753" i="6"/>
  <c r="I753" i="6" s="1"/>
  <c r="J753" i="6" s="1"/>
  <c r="I751" i="6"/>
  <c r="J751" i="6"/>
  <c r="H751" i="6"/>
  <c r="H749" i="6"/>
  <c r="I749" i="6"/>
  <c r="J749" i="6"/>
  <c r="H748" i="6"/>
  <c r="I748" i="6" s="1"/>
  <c r="J748" i="6" s="1"/>
  <c r="H747" i="6"/>
  <c r="I747" i="6" s="1"/>
  <c r="J747" i="6" s="1"/>
  <c r="I746" i="6"/>
  <c r="J746" i="6"/>
  <c r="H746" i="6"/>
  <c r="H745" i="6"/>
  <c r="I745" i="6"/>
  <c r="J745" i="6"/>
  <c r="H744" i="6"/>
  <c r="I744" i="6" s="1"/>
  <c r="J744" i="6" s="1"/>
  <c r="H743" i="6"/>
  <c r="I743" i="6" s="1"/>
  <c r="J743" i="6" s="1"/>
  <c r="I742" i="6"/>
  <c r="J742" i="6"/>
  <c r="H742" i="6"/>
  <c r="H741" i="6"/>
  <c r="I741" i="6"/>
  <c r="J741" i="6"/>
  <c r="H740" i="6"/>
  <c r="I740" i="6" s="1"/>
  <c r="J740" i="6" s="1"/>
  <c r="H739" i="6"/>
  <c r="I739" i="6" s="1"/>
  <c r="J739" i="6" s="1"/>
  <c r="I738" i="6"/>
  <c r="J738" i="6"/>
  <c r="H738" i="6"/>
  <c r="H737" i="6"/>
  <c r="I737" i="6"/>
  <c r="J737" i="6"/>
  <c r="H736" i="6"/>
  <c r="I736" i="6" s="1"/>
  <c r="J736" i="6" s="1"/>
  <c r="H735" i="6"/>
  <c r="I735" i="6" s="1"/>
  <c r="J735" i="6" s="1"/>
  <c r="I734" i="6"/>
  <c r="J734" i="6"/>
  <c r="H734" i="6"/>
  <c r="H733" i="6"/>
  <c r="I733" i="6"/>
  <c r="J733" i="6"/>
  <c r="H732" i="6"/>
  <c r="I732" i="6" s="1"/>
  <c r="J732" i="6" s="1"/>
  <c r="H731" i="6"/>
  <c r="I731" i="6" s="1"/>
  <c r="J731" i="6" s="1"/>
  <c r="I730" i="6"/>
  <c r="J730" i="6"/>
  <c r="H730" i="6"/>
  <c r="H729" i="6"/>
  <c r="I729" i="6"/>
  <c r="J729" i="6"/>
  <c r="H728" i="6"/>
  <c r="I728" i="6" s="1"/>
  <c r="J728" i="6" s="1"/>
  <c r="H727" i="6"/>
  <c r="I727" i="6" s="1"/>
  <c r="J727" i="6" s="1"/>
  <c r="I726" i="6"/>
  <c r="J726" i="6"/>
  <c r="H726" i="6"/>
  <c r="H725" i="6"/>
  <c r="I725" i="6"/>
  <c r="J725" i="6"/>
  <c r="H724" i="6"/>
  <c r="I724" i="6" s="1"/>
  <c r="J724" i="6" s="1"/>
  <c r="H723" i="6"/>
  <c r="I723" i="6" s="1"/>
  <c r="J723" i="6" s="1"/>
  <c r="I722" i="6"/>
  <c r="J722" i="6"/>
  <c r="H722" i="6"/>
  <c r="F721" i="6"/>
  <c r="H721" i="6" s="1"/>
  <c r="I721" i="6" s="1"/>
  <c r="J721" i="6" s="1"/>
  <c r="H719" i="6"/>
  <c r="I719" i="6"/>
  <c r="J719" i="6" s="1"/>
  <c r="H717" i="6"/>
  <c r="I717" i="6" s="1"/>
  <c r="J717" i="6" s="1"/>
  <c r="J716" i="6"/>
  <c r="H716" i="6"/>
  <c r="I716" i="6" s="1"/>
  <c r="I715" i="6"/>
  <c r="J715" i="6"/>
  <c r="H715" i="6"/>
  <c r="H714" i="6"/>
  <c r="I714" i="6"/>
  <c r="J714" i="6" s="1"/>
  <c r="H713" i="6"/>
  <c r="I713" i="6" s="1"/>
  <c r="J713" i="6" s="1"/>
  <c r="J712" i="6"/>
  <c r="H712" i="6"/>
  <c r="I712" i="6" s="1"/>
  <c r="I711" i="6"/>
  <c r="J711" i="6"/>
  <c r="H711" i="6"/>
  <c r="H710" i="6"/>
  <c r="I710" i="6"/>
  <c r="J710" i="6" s="1"/>
  <c r="H709" i="6"/>
  <c r="I709" i="6" s="1"/>
  <c r="J709" i="6" s="1"/>
  <c r="J708" i="6"/>
  <c r="H708" i="6"/>
  <c r="I708" i="6" s="1"/>
  <c r="I707" i="6"/>
  <c r="J707" i="6"/>
  <c r="H707" i="6"/>
  <c r="H706" i="6"/>
  <c r="I706" i="6"/>
  <c r="J706" i="6" s="1"/>
  <c r="H705" i="6"/>
  <c r="I705" i="6" s="1"/>
  <c r="J705" i="6" s="1"/>
  <c r="H704" i="6"/>
  <c r="I704" i="6" s="1"/>
  <c r="J704" i="6" s="1"/>
  <c r="I703" i="6"/>
  <c r="J703" i="6"/>
  <c r="H703" i="6"/>
  <c r="H702" i="6"/>
  <c r="I702" i="6"/>
  <c r="J702" i="6"/>
  <c r="H701" i="6"/>
  <c r="I701" i="6" s="1"/>
  <c r="J701" i="6" s="1"/>
  <c r="I700" i="6"/>
  <c r="J700" i="6" s="1"/>
  <c r="H700" i="6"/>
  <c r="H699" i="6"/>
  <c r="I699" i="6"/>
  <c r="J699" i="6" s="1"/>
  <c r="H698" i="6"/>
  <c r="I698" i="6"/>
  <c r="J698" i="6" s="1"/>
  <c r="H697" i="6"/>
  <c r="I697" i="6" s="1"/>
  <c r="J697" i="6" s="1"/>
  <c r="H696" i="6"/>
  <c r="I696" i="6" s="1"/>
  <c r="J696" i="6" s="1"/>
  <c r="I695" i="6"/>
  <c r="J695" i="6"/>
  <c r="H695" i="6"/>
  <c r="H694" i="6"/>
  <c r="I694" i="6"/>
  <c r="J694" i="6"/>
  <c r="H693" i="6"/>
  <c r="I693" i="6" s="1"/>
  <c r="J693" i="6" s="1"/>
  <c r="I692" i="6"/>
  <c r="J692" i="6" s="1"/>
  <c r="H692" i="6"/>
  <c r="H691" i="6"/>
  <c r="I691" i="6"/>
  <c r="J691" i="6" s="1"/>
  <c r="H690" i="6"/>
  <c r="I690" i="6"/>
  <c r="J690" i="6" s="1"/>
  <c r="H689" i="6"/>
  <c r="I689" i="6" s="1"/>
  <c r="J689" i="6" s="1"/>
  <c r="H688" i="6"/>
  <c r="I688" i="6" s="1"/>
  <c r="J688" i="6" s="1"/>
  <c r="I687" i="6"/>
  <c r="J687" i="6"/>
  <c r="H687" i="6"/>
  <c r="H686" i="6"/>
  <c r="I686" i="6"/>
  <c r="J686" i="6"/>
  <c r="H685" i="6"/>
  <c r="I685" i="6" s="1"/>
  <c r="J685" i="6" s="1"/>
  <c r="I684" i="6"/>
  <c r="J684" i="6" s="1"/>
  <c r="H684" i="6"/>
  <c r="H683" i="6"/>
  <c r="I683" i="6"/>
  <c r="J683" i="6" s="1"/>
  <c r="H682" i="6"/>
  <c r="I682" i="6"/>
  <c r="J682" i="6" s="1"/>
  <c r="H681" i="6"/>
  <c r="I681" i="6" s="1"/>
  <c r="J681" i="6" s="1"/>
  <c r="H680" i="6"/>
  <c r="I680" i="6" s="1"/>
  <c r="J680" i="6" s="1"/>
  <c r="I679" i="6"/>
  <c r="J679" i="6"/>
  <c r="H679" i="6"/>
  <c r="H678" i="6"/>
  <c r="I678" i="6"/>
  <c r="J678" i="6"/>
  <c r="H677" i="6"/>
  <c r="I677" i="6" s="1"/>
  <c r="J677" i="6" s="1"/>
  <c r="J676" i="6"/>
  <c r="I676" i="6"/>
  <c r="H676" i="6"/>
  <c r="I675" i="6"/>
  <c r="J675" i="6"/>
  <c r="H675" i="6"/>
  <c r="H674" i="6"/>
  <c r="I674" i="6"/>
  <c r="J674" i="6"/>
  <c r="H673" i="6"/>
  <c r="I673" i="6" s="1"/>
  <c r="J673" i="6" s="1"/>
  <c r="J672" i="6"/>
  <c r="I672" i="6"/>
  <c r="H672" i="6"/>
  <c r="I671" i="6"/>
  <c r="J671" i="6"/>
  <c r="H671" i="6"/>
  <c r="H670" i="6"/>
  <c r="I670" i="6"/>
  <c r="J670" i="6"/>
  <c r="H669" i="6"/>
  <c r="I669" i="6" s="1"/>
  <c r="J669" i="6" s="1"/>
  <c r="J668" i="6"/>
  <c r="I668" i="6"/>
  <c r="H668" i="6"/>
  <c r="I667" i="6"/>
  <c r="J667" i="6"/>
  <c r="H667" i="6"/>
  <c r="H666" i="6"/>
  <c r="I666" i="6"/>
  <c r="J666" i="6"/>
  <c r="H665" i="6"/>
  <c r="I665" i="6" s="1"/>
  <c r="J665" i="6" s="1"/>
  <c r="J664" i="6"/>
  <c r="I664" i="6"/>
  <c r="H664" i="6"/>
  <c r="I663" i="6"/>
  <c r="J663" i="6"/>
  <c r="H663" i="6"/>
  <c r="H662" i="6"/>
  <c r="I662" i="6"/>
  <c r="J662" i="6"/>
  <c r="H660" i="6"/>
  <c r="I660" i="6" s="1"/>
  <c r="J660" i="6" s="1"/>
  <c r="J658" i="6"/>
  <c r="I658" i="6"/>
  <c r="H658" i="6"/>
  <c r="I657" i="6"/>
  <c r="J657" i="6"/>
  <c r="H657" i="6"/>
  <c r="H655" i="6"/>
  <c r="I655" i="6"/>
  <c r="J655" i="6"/>
  <c r="H654" i="6"/>
  <c r="I654" i="6" s="1"/>
  <c r="J654" i="6" s="1"/>
  <c r="J653" i="6"/>
  <c r="I653" i="6"/>
  <c r="H653" i="6"/>
  <c r="I651" i="6"/>
  <c r="J651" i="6"/>
  <c r="H651" i="6"/>
  <c r="H649" i="6"/>
  <c r="I649" i="6"/>
  <c r="J649" i="6"/>
  <c r="H647" i="6"/>
  <c r="I647" i="6" s="1"/>
  <c r="J647" i="6" s="1"/>
  <c r="J646" i="6"/>
  <c r="I646" i="6"/>
  <c r="H646" i="6"/>
  <c r="I645" i="6"/>
  <c r="J645" i="6" s="1"/>
  <c r="H645" i="6"/>
  <c r="H644" i="6"/>
  <c r="I644" i="6"/>
  <c r="J644" i="6" s="1"/>
  <c r="H643" i="6"/>
  <c r="I643" i="6" s="1"/>
  <c r="J643" i="6"/>
  <c r="J642" i="6"/>
  <c r="I642" i="6"/>
  <c r="H642" i="6"/>
  <c r="I641" i="6"/>
  <c r="J641" i="6" s="1"/>
  <c r="H641" i="6"/>
  <c r="H640" i="6"/>
  <c r="I640" i="6"/>
  <c r="J640" i="6" s="1"/>
  <c r="H639" i="6"/>
  <c r="I639" i="6" s="1"/>
  <c r="J639" i="6"/>
  <c r="J638" i="6"/>
  <c r="I638" i="6"/>
  <c r="H638" i="6"/>
  <c r="I636" i="6"/>
  <c r="J636" i="6"/>
  <c r="H636" i="6"/>
  <c r="H635" i="6"/>
  <c r="I635" i="6"/>
  <c r="J635" i="6"/>
  <c r="H634" i="6"/>
  <c r="I634" i="6" s="1"/>
  <c r="J634" i="6" s="1"/>
  <c r="J632" i="6"/>
  <c r="I632" i="6"/>
  <c r="H632" i="6"/>
  <c r="I630" i="6"/>
  <c r="J630" i="6"/>
  <c r="H630" i="6"/>
  <c r="H629" i="6"/>
  <c r="I629" i="6"/>
  <c r="J629" i="6"/>
  <c r="H628" i="6"/>
  <c r="I628" i="6" s="1"/>
  <c r="J628" i="6" s="1"/>
  <c r="J627" i="6"/>
  <c r="I627" i="6"/>
  <c r="H627" i="6"/>
  <c r="I626" i="6"/>
  <c r="J626" i="6" s="1"/>
  <c r="H626" i="6"/>
  <c r="H625" i="6"/>
  <c r="I625" i="6"/>
  <c r="J625" i="6" s="1"/>
  <c r="H623" i="6"/>
  <c r="I623" i="6" s="1"/>
  <c r="J623" i="6"/>
  <c r="J621" i="6"/>
  <c r="I621" i="6"/>
  <c r="H621" i="6"/>
  <c r="I619" i="6"/>
  <c r="J619" i="6" s="1"/>
  <c r="H619" i="6"/>
  <c r="H618" i="6"/>
  <c r="I618" i="6"/>
  <c r="J618" i="6" s="1"/>
  <c r="H616" i="6"/>
  <c r="I616" i="6" s="1"/>
  <c r="J616" i="6"/>
  <c r="J615" i="6"/>
  <c r="I615" i="6"/>
  <c r="H615" i="6"/>
  <c r="I613" i="6"/>
  <c r="J613" i="6"/>
  <c r="H613" i="6"/>
  <c r="H611" i="6"/>
  <c r="I611" i="6"/>
  <c r="J611" i="6"/>
  <c r="H610" i="6"/>
  <c r="I610" i="6" s="1"/>
  <c r="J610" i="6" s="1"/>
  <c r="J609" i="6"/>
  <c r="I609" i="6"/>
  <c r="H609" i="6"/>
  <c r="I608" i="6"/>
  <c r="J608" i="6"/>
  <c r="H608" i="6"/>
  <c r="H607" i="6"/>
  <c r="I607" i="6"/>
  <c r="J607" i="6"/>
  <c r="H606" i="6"/>
  <c r="I606" i="6" s="1"/>
  <c r="J606" i="6" s="1"/>
  <c r="J605" i="6"/>
  <c r="I605" i="6"/>
  <c r="H605" i="6"/>
  <c r="I604" i="6"/>
  <c r="J604" i="6" s="1"/>
  <c r="H604" i="6"/>
  <c r="H603" i="6"/>
  <c r="I603" i="6"/>
  <c r="J603" i="6" s="1"/>
  <c r="H602" i="6"/>
  <c r="I602" i="6" s="1"/>
  <c r="J602" i="6"/>
  <c r="J601" i="6"/>
  <c r="I601" i="6"/>
  <c r="H601" i="6"/>
  <c r="I600" i="6"/>
  <c r="J600" i="6" s="1"/>
  <c r="H600" i="6"/>
  <c r="H599" i="6"/>
  <c r="I599" i="6"/>
  <c r="J599" i="6" s="1"/>
  <c r="H598" i="6"/>
  <c r="I598" i="6" s="1"/>
  <c r="J598" i="6"/>
  <c r="J597" i="6"/>
  <c r="I597" i="6"/>
  <c r="H597" i="6"/>
  <c r="I596" i="6"/>
  <c r="J596" i="6"/>
  <c r="H596" i="6"/>
  <c r="H595" i="6"/>
  <c r="I595" i="6"/>
  <c r="J595" i="6"/>
  <c r="F594" i="6"/>
  <c r="H594" i="6" s="1"/>
  <c r="I594" i="6" s="1"/>
  <c r="J594" i="6" s="1"/>
  <c r="H592" i="6"/>
  <c r="I592" i="6" s="1"/>
  <c r="J592" i="6" s="1"/>
  <c r="J590" i="6"/>
  <c r="I590" i="6"/>
  <c r="H590" i="6"/>
  <c r="I589" i="6"/>
  <c r="J589" i="6" s="1"/>
  <c r="H589" i="6"/>
  <c r="H588" i="6"/>
  <c r="I588" i="6"/>
  <c r="J588" i="6" s="1"/>
  <c r="H587" i="6"/>
  <c r="I587" i="6" s="1"/>
  <c r="J587" i="6"/>
  <c r="J586" i="6"/>
  <c r="I586" i="6"/>
  <c r="H586" i="6"/>
  <c r="I585" i="6"/>
  <c r="J585" i="6" s="1"/>
  <c r="H585" i="6"/>
  <c r="H584" i="6"/>
  <c r="I584" i="6"/>
  <c r="J584" i="6" s="1"/>
  <c r="H583" i="6"/>
  <c r="I583" i="6" s="1"/>
  <c r="J583" i="6"/>
  <c r="J582" i="6"/>
  <c r="I582" i="6"/>
  <c r="H582" i="6"/>
  <c r="I581" i="6"/>
  <c r="J581" i="6"/>
  <c r="H581" i="6"/>
  <c r="H580" i="6"/>
  <c r="I580" i="6"/>
  <c r="J580" i="6"/>
  <c r="H579" i="6"/>
  <c r="I579" i="6" s="1"/>
  <c r="J579" i="6" s="1"/>
  <c r="J578" i="6"/>
  <c r="I578" i="6"/>
  <c r="H578" i="6"/>
  <c r="I577" i="6"/>
  <c r="J577" i="6"/>
  <c r="H577" i="6"/>
  <c r="H576" i="6"/>
  <c r="I576" i="6"/>
  <c r="J576" i="6"/>
  <c r="H575" i="6"/>
  <c r="I575" i="6" s="1"/>
  <c r="J575" i="6" s="1"/>
  <c r="J573" i="6"/>
  <c r="I573" i="6"/>
  <c r="H573" i="6"/>
  <c r="I571" i="6"/>
  <c r="J571" i="6" s="1"/>
  <c r="H571" i="6"/>
  <c r="H569" i="6"/>
  <c r="I569" i="6"/>
  <c r="J569" i="6" s="1"/>
  <c r="H567" i="6"/>
  <c r="I567" i="6" s="1"/>
  <c r="J567" i="6"/>
  <c r="J565" i="6"/>
  <c r="I565" i="6"/>
  <c r="H565" i="6"/>
  <c r="I563" i="6"/>
  <c r="J563" i="6" s="1"/>
  <c r="H563" i="6"/>
  <c r="H561" i="6"/>
  <c r="I561" i="6"/>
  <c r="J561" i="6" s="1"/>
  <c r="H560" i="6"/>
  <c r="I560" i="6" s="1"/>
  <c r="J560" i="6"/>
  <c r="J558" i="6"/>
  <c r="I558" i="6"/>
  <c r="H558" i="6"/>
  <c r="I555" i="6"/>
  <c r="J553" i="6"/>
  <c r="I553" i="6"/>
  <c r="H553" i="6"/>
  <c r="I552" i="6"/>
  <c r="J552" i="6"/>
  <c r="H552" i="6"/>
  <c r="H551" i="6"/>
  <c r="I551" i="6"/>
  <c r="J551" i="6"/>
  <c r="H549" i="6"/>
  <c r="I549" i="6" s="1"/>
  <c r="J549" i="6" s="1"/>
  <c r="J548" i="6"/>
  <c r="I548" i="6"/>
  <c r="H548" i="6"/>
  <c r="I547" i="6"/>
  <c r="J547" i="6"/>
  <c r="H547" i="6"/>
  <c r="I546" i="6"/>
  <c r="J546" i="6" s="1"/>
  <c r="F546" i="6"/>
  <c r="H546" i="6" s="1"/>
  <c r="H545" i="6"/>
  <c r="I545" i="6"/>
  <c r="J545" i="6" s="1"/>
  <c r="H543" i="6"/>
  <c r="I543" i="6" s="1"/>
  <c r="J543" i="6"/>
  <c r="J541" i="6"/>
  <c r="I541" i="6"/>
  <c r="H541" i="6"/>
  <c r="I539" i="6"/>
  <c r="J539" i="6" s="1"/>
  <c r="H539" i="6"/>
  <c r="H537" i="6"/>
  <c r="I537" i="6"/>
  <c r="J537" i="6" s="1"/>
  <c r="H536" i="6"/>
  <c r="I536" i="6" s="1"/>
  <c r="J536" i="6"/>
  <c r="J534" i="6"/>
  <c r="I534" i="6"/>
  <c r="H534" i="6"/>
  <c r="I532" i="6"/>
  <c r="J532" i="6"/>
  <c r="H532" i="6"/>
  <c r="H530" i="6"/>
  <c r="I530" i="6"/>
  <c r="J530" i="6"/>
  <c r="H528" i="6"/>
  <c r="I528" i="6" s="1"/>
  <c r="J528" i="6" s="1"/>
  <c r="J526" i="6"/>
  <c r="I526" i="6"/>
  <c r="H526" i="6"/>
  <c r="I525" i="6"/>
  <c r="J525" i="6"/>
  <c r="H525" i="6"/>
  <c r="H524" i="6"/>
  <c r="I524" i="6"/>
  <c r="J524" i="6"/>
  <c r="H523" i="6"/>
  <c r="I523" i="6" s="1"/>
  <c r="J523" i="6" s="1"/>
  <c r="J521" i="6"/>
  <c r="I521" i="6"/>
  <c r="H521" i="6"/>
  <c r="I519" i="6"/>
  <c r="J519" i="6" s="1"/>
  <c r="H519" i="6"/>
  <c r="H517" i="6"/>
  <c r="I517" i="6"/>
  <c r="J517" i="6" s="1"/>
  <c r="H516" i="6"/>
  <c r="I516" i="6" s="1"/>
  <c r="J516" i="6"/>
  <c r="J515" i="6"/>
  <c r="I515" i="6"/>
  <c r="H515" i="6"/>
  <c r="I513" i="6"/>
  <c r="J513" i="6" s="1"/>
  <c r="H513" i="6"/>
  <c r="H512" i="6"/>
  <c r="I512" i="6"/>
  <c r="J512" i="6" s="1"/>
  <c r="H510" i="6"/>
  <c r="I510" i="6" s="1"/>
  <c r="J510" i="6"/>
  <c r="J509" i="6"/>
  <c r="I509" i="6"/>
  <c r="H509" i="6"/>
  <c r="I507" i="6"/>
  <c r="J507" i="6"/>
  <c r="H507" i="6"/>
  <c r="H506" i="6"/>
  <c r="I506" i="6"/>
  <c r="J506" i="6"/>
  <c r="H505" i="6"/>
  <c r="I505" i="6" s="1"/>
  <c r="J505" i="6" s="1"/>
  <c r="J503" i="6"/>
  <c r="I503" i="6"/>
  <c r="H503" i="6"/>
  <c r="H502" i="6"/>
  <c r="I502" i="6" s="1"/>
  <c r="J502" i="6" s="1"/>
  <c r="H501" i="6"/>
  <c r="I501" i="6"/>
  <c r="J501" i="6"/>
  <c r="H500" i="6"/>
  <c r="I500" i="6" s="1"/>
  <c r="J500" i="6" s="1"/>
  <c r="I498" i="6"/>
  <c r="J498" i="6" s="1"/>
  <c r="H498" i="6"/>
  <c r="I497" i="6"/>
  <c r="J497" i="6" s="1"/>
  <c r="H497" i="6"/>
  <c r="H496" i="6"/>
  <c r="I496" i="6"/>
  <c r="J496" i="6" s="1"/>
  <c r="H495" i="6"/>
  <c r="I495" i="6" s="1"/>
  <c r="J495" i="6"/>
  <c r="J494" i="6"/>
  <c r="I494" i="6"/>
  <c r="H494" i="6"/>
  <c r="I493" i="6"/>
  <c r="J493" i="6" s="1"/>
  <c r="H493" i="6"/>
  <c r="H492" i="6"/>
  <c r="I492" i="6"/>
  <c r="J492" i="6" s="1"/>
  <c r="H491" i="6"/>
  <c r="I491" i="6" s="1"/>
  <c r="J491" i="6"/>
  <c r="J490" i="6"/>
  <c r="I490" i="6"/>
  <c r="H490" i="6"/>
  <c r="J489" i="6"/>
  <c r="H489" i="6"/>
  <c r="I489" i="6" s="1"/>
  <c r="H488" i="6"/>
  <c r="I488" i="6"/>
  <c r="J488" i="6"/>
  <c r="H487" i="6"/>
  <c r="I487" i="6" s="1"/>
  <c r="J487" i="6" s="1"/>
  <c r="I486" i="6"/>
  <c r="J486" i="6" s="1"/>
  <c r="H486" i="6"/>
  <c r="H485" i="6"/>
  <c r="I485" i="6" s="1"/>
  <c r="J485" i="6" s="1"/>
  <c r="H483" i="6"/>
  <c r="I483" i="6"/>
  <c r="J483" i="6"/>
  <c r="H482" i="6"/>
  <c r="I482" i="6" s="1"/>
  <c r="J482" i="6" s="1"/>
  <c r="I480" i="6"/>
  <c r="J480" i="6" s="1"/>
  <c r="H480" i="6"/>
  <c r="I479" i="6"/>
  <c r="J479" i="6" s="1"/>
  <c r="H479" i="6"/>
  <c r="F479" i="6"/>
  <c r="I478" i="6"/>
  <c r="J478" i="6" s="1"/>
  <c r="H478" i="6"/>
  <c r="I477" i="6"/>
  <c r="J477" i="6" s="1"/>
  <c r="F477" i="6"/>
  <c r="H477" i="6" s="1"/>
  <c r="F476" i="6"/>
  <c r="H476" i="6" s="1"/>
  <c r="I476" i="6" s="1"/>
  <c r="J476" i="6" s="1"/>
  <c r="F475" i="6"/>
  <c r="H475" i="6" s="1"/>
  <c r="I475" i="6" s="1"/>
  <c r="J475" i="6" s="1"/>
  <c r="I474" i="6"/>
  <c r="J474" i="6" s="1"/>
  <c r="F474" i="6"/>
  <c r="H474" i="6" s="1"/>
  <c r="I473" i="6"/>
  <c r="J473" i="6" s="1"/>
  <c r="F473" i="6"/>
  <c r="H473" i="6" s="1"/>
  <c r="H472" i="6"/>
  <c r="I472" i="6"/>
  <c r="J472" i="6" s="1"/>
  <c r="H471" i="6"/>
  <c r="I471" i="6" s="1"/>
  <c r="J471" i="6" s="1"/>
  <c r="J470" i="6"/>
  <c r="I470" i="6"/>
  <c r="F470" i="6"/>
  <c r="H470" i="6" s="1"/>
  <c r="I469" i="6"/>
  <c r="J469" i="6" s="1"/>
  <c r="H469" i="6"/>
  <c r="H468" i="6"/>
  <c r="I468" i="6" s="1"/>
  <c r="J468" i="6" s="1"/>
  <c r="H467" i="6"/>
  <c r="I467" i="6"/>
  <c r="J467" i="6"/>
  <c r="J466" i="6"/>
  <c r="H466" i="6"/>
  <c r="I466" i="6" s="1"/>
  <c r="I465" i="6"/>
  <c r="J465" i="6" s="1"/>
  <c r="H465" i="6"/>
  <c r="I464" i="6"/>
  <c r="J464" i="6" s="1"/>
  <c r="H464" i="6"/>
  <c r="H463" i="6"/>
  <c r="I463" i="6"/>
  <c r="J463" i="6" s="1"/>
  <c r="H462" i="6"/>
  <c r="I462" i="6" s="1"/>
  <c r="J462" i="6"/>
  <c r="J461" i="6"/>
  <c r="I461" i="6"/>
  <c r="H461" i="6"/>
  <c r="I460" i="6"/>
  <c r="J460" i="6" s="1"/>
  <c r="H460" i="6"/>
  <c r="H459" i="6"/>
  <c r="I459" i="6"/>
  <c r="J459" i="6" s="1"/>
  <c r="H458" i="6"/>
  <c r="I458" i="6" s="1"/>
  <c r="J458" i="6"/>
  <c r="J457" i="6"/>
  <c r="I457" i="6"/>
  <c r="H457" i="6"/>
  <c r="J456" i="6"/>
  <c r="H456" i="6"/>
  <c r="I456" i="6" s="1"/>
  <c r="F455" i="6"/>
  <c r="H455" i="6" s="1"/>
  <c r="I455" i="6" s="1"/>
  <c r="J455" i="6" s="1"/>
  <c r="H454" i="6"/>
  <c r="I454" i="6"/>
  <c r="J454" i="6"/>
  <c r="J453" i="6"/>
  <c r="H453" i="6"/>
  <c r="I453" i="6" s="1"/>
  <c r="I452" i="6"/>
  <c r="J452" i="6" s="1"/>
  <c r="H452" i="6"/>
  <c r="I451" i="6"/>
  <c r="J451" i="6" s="1"/>
  <c r="H451" i="6"/>
  <c r="H450" i="6"/>
  <c r="I450" i="6"/>
  <c r="J450" i="6" s="1"/>
  <c r="H449" i="6"/>
  <c r="I449" i="6" s="1"/>
  <c r="J449" i="6"/>
  <c r="F448" i="6"/>
  <c r="H448" i="6" s="1"/>
  <c r="I448" i="6" s="1"/>
  <c r="J448" i="6" s="1"/>
  <c r="J447" i="6"/>
  <c r="I447" i="6"/>
  <c r="H447" i="6"/>
  <c r="J446" i="6"/>
  <c r="H446" i="6"/>
  <c r="I446" i="6" s="1"/>
  <c r="H445" i="6"/>
  <c r="I445" i="6"/>
  <c r="J445" i="6"/>
  <c r="F444" i="6"/>
  <c r="H444" i="6" s="1"/>
  <c r="I444" i="6" s="1"/>
  <c r="J444" i="6" s="1"/>
  <c r="H443" i="6"/>
  <c r="I443" i="6" s="1"/>
  <c r="J443" i="6" s="1"/>
  <c r="I442" i="6"/>
  <c r="J442" i="6" s="1"/>
  <c r="H442" i="6"/>
  <c r="I441" i="6"/>
  <c r="J441" i="6" s="1"/>
  <c r="H441" i="6"/>
  <c r="H440" i="6"/>
  <c r="I440" i="6"/>
  <c r="J440" i="6" s="1"/>
  <c r="H439" i="6"/>
  <c r="I439" i="6" s="1"/>
  <c r="J439" i="6" s="1"/>
  <c r="J438" i="6"/>
  <c r="F438" i="6"/>
  <c r="H438" i="6" s="1"/>
  <c r="I438" i="6"/>
  <c r="I437" i="6"/>
  <c r="J437" i="6" s="1"/>
  <c r="H437" i="6"/>
  <c r="H436" i="6"/>
  <c r="I436" i="6" s="1"/>
  <c r="J436" i="6" s="1"/>
  <c r="F436" i="6"/>
  <c r="J435" i="6"/>
  <c r="H435" i="6"/>
  <c r="I435" i="6" s="1"/>
  <c r="F435" i="6"/>
  <c r="J434" i="6"/>
  <c r="H434" i="6"/>
  <c r="I434" i="6" s="1"/>
  <c r="F434" i="6"/>
  <c r="H433" i="6"/>
  <c r="I433" i="6"/>
  <c r="J433" i="6" s="1"/>
  <c r="F433" i="6"/>
  <c r="H432" i="6"/>
  <c r="I432" i="6" s="1"/>
  <c r="J432" i="6" s="1"/>
  <c r="H431" i="6"/>
  <c r="I431" i="6"/>
  <c r="J431" i="6"/>
  <c r="J430" i="6"/>
  <c r="H430" i="6"/>
  <c r="I430" i="6" s="1"/>
  <c r="I429" i="6"/>
  <c r="J429" i="6" s="1"/>
  <c r="H429" i="6"/>
  <c r="H427" i="6"/>
  <c r="I427" i="6"/>
  <c r="J427" i="6"/>
  <c r="H426" i="6"/>
  <c r="I426" i="6"/>
  <c r="J426" i="6"/>
  <c r="J425" i="6"/>
  <c r="H425" i="6"/>
  <c r="I425" i="6" s="1"/>
  <c r="I424" i="6"/>
  <c r="J424" i="6" s="1"/>
  <c r="H424" i="6"/>
  <c r="I423" i="6"/>
  <c r="J423" i="6" s="1"/>
  <c r="H423" i="6"/>
  <c r="H422" i="6"/>
  <c r="I422" i="6"/>
  <c r="J422" i="6" s="1"/>
  <c r="H420" i="6"/>
  <c r="I420" i="6" s="1"/>
  <c r="J420" i="6" s="1"/>
  <c r="J418" i="6"/>
  <c r="I418" i="6"/>
  <c r="H418" i="6"/>
  <c r="I416" i="6"/>
  <c r="J416" i="6" s="1"/>
  <c r="H416" i="6"/>
  <c r="H414" i="6"/>
  <c r="I414" i="6"/>
  <c r="J414" i="6" s="1"/>
  <c r="H412" i="6"/>
  <c r="I412" i="6" s="1"/>
  <c r="J412" i="6" s="1"/>
  <c r="I410" i="6"/>
  <c r="J410" i="6" s="1"/>
  <c r="H410" i="6"/>
  <c r="J408" i="6"/>
  <c r="H408" i="6"/>
  <c r="I408" i="6" s="1"/>
  <c r="H407" i="6"/>
  <c r="I407" i="6"/>
  <c r="J407" i="6"/>
  <c r="J406" i="6"/>
  <c r="H406" i="6"/>
  <c r="I406" i="6" s="1"/>
  <c r="I405" i="6"/>
  <c r="J405" i="6" s="1"/>
  <c r="H405" i="6"/>
  <c r="H404" i="6"/>
  <c r="I404" i="6"/>
  <c r="J404" i="6"/>
  <c r="H403" i="6"/>
  <c r="I403" i="6"/>
  <c r="J403" i="6"/>
  <c r="J402" i="6"/>
  <c r="H402" i="6"/>
  <c r="I402" i="6" s="1"/>
  <c r="I401" i="6"/>
  <c r="J401" i="6" s="1"/>
  <c r="H401" i="6"/>
  <c r="I400" i="6"/>
  <c r="J400" i="6" s="1"/>
  <c r="H400" i="6"/>
  <c r="H399" i="6"/>
  <c r="I399" i="6"/>
  <c r="J399" i="6" s="1"/>
  <c r="H398" i="6"/>
  <c r="I398" i="6" s="1"/>
  <c r="J398" i="6" s="1"/>
  <c r="H397" i="6"/>
  <c r="I397" i="6" s="1"/>
  <c r="J397" i="6" s="1"/>
  <c r="I396" i="6"/>
  <c r="J396" i="6" s="1"/>
  <c r="H396" i="6"/>
  <c r="H395" i="6"/>
  <c r="I395" i="6" s="1"/>
  <c r="J395" i="6" s="1"/>
  <c r="I394" i="6"/>
  <c r="J394" i="6" s="1"/>
  <c r="H394" i="6"/>
  <c r="H393" i="6"/>
  <c r="I393" i="6"/>
  <c r="J393" i="6" s="1"/>
  <c r="J392" i="6"/>
  <c r="I392" i="6"/>
  <c r="H392" i="6"/>
  <c r="H391" i="6"/>
  <c r="I391" i="6" s="1"/>
  <c r="J391" i="6" s="1"/>
  <c r="I390" i="6"/>
  <c r="J390" i="6" s="1"/>
  <c r="H390" i="6"/>
  <c r="H389" i="6"/>
  <c r="I389" i="6"/>
  <c r="J389" i="6" s="1"/>
  <c r="H388" i="6"/>
  <c r="I388" i="6" s="1"/>
  <c r="J388" i="6" s="1"/>
  <c r="I387" i="6"/>
  <c r="J387" i="6" s="1"/>
  <c r="H387" i="6"/>
  <c r="H386" i="6"/>
  <c r="I386" i="6" s="1"/>
  <c r="J386" i="6" s="1"/>
  <c r="H385" i="6"/>
  <c r="I385" i="6" s="1"/>
  <c r="J385" i="6" s="1"/>
  <c r="H384" i="6"/>
  <c r="I384" i="6" s="1"/>
  <c r="J384" i="6" s="1"/>
  <c r="I383" i="6"/>
  <c r="J383" i="6" s="1"/>
  <c r="H383" i="6"/>
  <c r="H382" i="6"/>
  <c r="I382" i="6" s="1"/>
  <c r="J382" i="6" s="1"/>
  <c r="H381" i="6"/>
  <c r="I381" i="6" s="1"/>
  <c r="J381" i="6" s="1"/>
  <c r="I380" i="6"/>
  <c r="J380" i="6" s="1"/>
  <c r="H380" i="6"/>
  <c r="H379" i="6"/>
  <c r="I379" i="6" s="1"/>
  <c r="J379" i="6" s="1"/>
  <c r="I378" i="6"/>
  <c r="J378" i="6" s="1"/>
  <c r="H378" i="6"/>
  <c r="H377" i="6"/>
  <c r="I377" i="6"/>
  <c r="J377" i="6" s="1"/>
  <c r="J376" i="6"/>
  <c r="I376" i="6"/>
  <c r="H376" i="6"/>
  <c r="H375" i="6"/>
  <c r="I375" i="6" s="1"/>
  <c r="J375" i="6" s="1"/>
  <c r="I374" i="6"/>
  <c r="J374" i="6" s="1"/>
  <c r="H374" i="6"/>
  <c r="H373" i="6"/>
  <c r="I373" i="6"/>
  <c r="J373" i="6" s="1"/>
  <c r="H372" i="6"/>
  <c r="I372" i="6" s="1"/>
  <c r="J372" i="6" s="1"/>
  <c r="I371" i="6"/>
  <c r="J371" i="6" s="1"/>
  <c r="H371" i="6"/>
  <c r="H370" i="6"/>
  <c r="I370" i="6" s="1"/>
  <c r="J370" i="6" s="1"/>
  <c r="H369" i="6"/>
  <c r="I369" i="6" s="1"/>
  <c r="J369" i="6" s="1"/>
  <c r="H368" i="6"/>
  <c r="I368" i="6" s="1"/>
  <c r="J368" i="6" s="1"/>
  <c r="I367" i="6"/>
  <c r="J367" i="6" s="1"/>
  <c r="H367" i="6"/>
  <c r="H366" i="6"/>
  <c r="I366" i="6" s="1"/>
  <c r="J366" i="6" s="1"/>
  <c r="H365" i="6"/>
  <c r="I365" i="6" s="1"/>
  <c r="J365" i="6" s="1"/>
  <c r="I364" i="6"/>
  <c r="J364" i="6" s="1"/>
  <c r="H364" i="6"/>
  <c r="H363" i="6"/>
  <c r="I363" i="6" s="1"/>
  <c r="J363" i="6" s="1"/>
  <c r="I362" i="6"/>
  <c r="J362" i="6" s="1"/>
  <c r="H362" i="6"/>
  <c r="H361" i="6"/>
  <c r="I361" i="6"/>
  <c r="J361" i="6" s="1"/>
  <c r="J360" i="6"/>
  <c r="I360" i="6"/>
  <c r="H360" i="6"/>
  <c r="H359" i="6"/>
  <c r="I359" i="6" s="1"/>
  <c r="J359" i="6" s="1"/>
  <c r="I358" i="6"/>
  <c r="J358" i="6" s="1"/>
  <c r="H358" i="6"/>
  <c r="H357" i="6"/>
  <c r="I357" i="6"/>
  <c r="J357" i="6" s="1"/>
  <c r="H356" i="6"/>
  <c r="I356" i="6" s="1"/>
  <c r="J356" i="6" s="1"/>
  <c r="I355" i="6"/>
  <c r="J355" i="6" s="1"/>
  <c r="H355" i="6"/>
  <c r="H354" i="6"/>
  <c r="I354" i="6" s="1"/>
  <c r="J354" i="6" s="1"/>
  <c r="H353" i="6"/>
  <c r="I353" i="6" s="1"/>
  <c r="J353" i="6" s="1"/>
  <c r="H352" i="6"/>
  <c r="I352" i="6" s="1"/>
  <c r="J352" i="6" s="1"/>
  <c r="I351" i="6"/>
  <c r="J351" i="6" s="1"/>
  <c r="H351" i="6"/>
  <c r="H350" i="6"/>
  <c r="I350" i="6" s="1"/>
  <c r="J350" i="6" s="1"/>
  <c r="H349" i="6"/>
  <c r="I349" i="6" s="1"/>
  <c r="J349" i="6" s="1"/>
  <c r="I348" i="6"/>
  <c r="J348" i="6" s="1"/>
  <c r="H348" i="6"/>
  <c r="H347" i="6"/>
  <c r="I347" i="6" s="1"/>
  <c r="J347" i="6" s="1"/>
  <c r="I346" i="6"/>
  <c r="J346" i="6" s="1"/>
  <c r="H346" i="6"/>
  <c r="H345" i="6"/>
  <c r="I345" i="6"/>
  <c r="J345" i="6" s="1"/>
  <c r="J344" i="6"/>
  <c r="H344" i="6"/>
  <c r="I344" i="6" s="1"/>
  <c r="H343" i="6"/>
  <c r="I343" i="6" s="1"/>
  <c r="J343" i="6" s="1"/>
  <c r="H342" i="6"/>
  <c r="I342" i="6" s="1"/>
  <c r="J342" i="6" s="1"/>
  <c r="H341" i="6"/>
  <c r="I341" i="6"/>
  <c r="J341" i="6" s="1"/>
  <c r="I340" i="6"/>
  <c r="J340" i="6" s="1"/>
  <c r="H340" i="6"/>
  <c r="I339" i="6"/>
  <c r="J339" i="6" s="1"/>
  <c r="H339" i="6"/>
  <c r="I338" i="6"/>
  <c r="J338" i="6" s="1"/>
  <c r="H338" i="6"/>
  <c r="H337" i="6"/>
  <c r="I337" i="6" s="1"/>
  <c r="J337" i="6" s="1"/>
  <c r="I336" i="6"/>
  <c r="J336" i="6" s="1"/>
  <c r="H336" i="6"/>
  <c r="J335" i="6"/>
  <c r="H335" i="6"/>
  <c r="I335" i="6" s="1"/>
  <c r="I334" i="6"/>
  <c r="J334" i="6"/>
  <c r="H334" i="6"/>
  <c r="H333" i="6"/>
  <c r="I333" i="6" s="1"/>
  <c r="J333" i="6" s="1"/>
  <c r="I332" i="6"/>
  <c r="J332" i="6" s="1"/>
  <c r="H332" i="6"/>
  <c r="J331" i="6"/>
  <c r="H331" i="6"/>
  <c r="I331" i="6" s="1"/>
  <c r="I330" i="6"/>
  <c r="J330" i="6"/>
  <c r="H330" i="6"/>
  <c r="H329" i="6"/>
  <c r="I329" i="6" s="1"/>
  <c r="J329" i="6" s="1"/>
  <c r="I328" i="6"/>
  <c r="J328" i="6" s="1"/>
  <c r="H328" i="6"/>
  <c r="J327" i="6"/>
  <c r="H327" i="6"/>
  <c r="I327" i="6" s="1"/>
  <c r="I326" i="6"/>
  <c r="J326" i="6"/>
  <c r="H326" i="6"/>
  <c r="H325" i="6"/>
  <c r="I325" i="6" s="1"/>
  <c r="J325" i="6"/>
  <c r="I324" i="6"/>
  <c r="J324" i="6" s="1"/>
  <c r="H324" i="6"/>
  <c r="H323" i="6"/>
  <c r="I323" i="6" s="1"/>
  <c r="J323" i="6" s="1"/>
  <c r="I322" i="6"/>
  <c r="J322" i="6"/>
  <c r="H322" i="6"/>
  <c r="H321" i="6"/>
  <c r="I321" i="6" s="1"/>
  <c r="J321" i="6" s="1"/>
  <c r="I320" i="6"/>
  <c r="J320" i="6" s="1"/>
  <c r="H320" i="6"/>
  <c r="J319" i="6"/>
  <c r="H319" i="6"/>
  <c r="I319" i="6" s="1"/>
  <c r="I318" i="6"/>
  <c r="J318" i="6"/>
  <c r="H318" i="6"/>
  <c r="H317" i="6"/>
  <c r="I317" i="6" s="1"/>
  <c r="J317" i="6" s="1"/>
  <c r="I316" i="6"/>
  <c r="J316" i="6" s="1"/>
  <c r="H316" i="6"/>
  <c r="J315" i="6"/>
  <c r="H315" i="6"/>
  <c r="I315" i="6" s="1"/>
  <c r="I314" i="6"/>
  <c r="J314" i="6"/>
  <c r="H314" i="6"/>
  <c r="H313" i="6"/>
  <c r="I313" i="6" s="1"/>
  <c r="J313" i="6" s="1"/>
  <c r="I312" i="6"/>
  <c r="J312" i="6" s="1"/>
  <c r="H312" i="6"/>
  <c r="J311" i="6"/>
  <c r="H311" i="6"/>
  <c r="I311" i="6" s="1"/>
  <c r="I310" i="6"/>
  <c r="J310" i="6"/>
  <c r="H310" i="6"/>
  <c r="H309" i="6"/>
  <c r="I309" i="6" s="1"/>
  <c r="J309" i="6"/>
  <c r="I308" i="6"/>
  <c r="J308" i="6" s="1"/>
  <c r="H308" i="6"/>
  <c r="H307" i="6"/>
  <c r="I307" i="6" s="1"/>
  <c r="J307" i="6" s="1"/>
  <c r="I306" i="6"/>
  <c r="J306" i="6"/>
  <c r="H306" i="6"/>
  <c r="H305" i="6"/>
  <c r="I305" i="6" s="1"/>
  <c r="J305" i="6" s="1"/>
  <c r="I304" i="6"/>
  <c r="J304" i="6" s="1"/>
  <c r="H304" i="6"/>
  <c r="J303" i="6"/>
  <c r="H303" i="6"/>
  <c r="I303" i="6" s="1"/>
  <c r="I302" i="6"/>
  <c r="J302" i="6"/>
  <c r="H302" i="6"/>
  <c r="H301" i="6"/>
  <c r="I301" i="6" s="1"/>
  <c r="J301" i="6" s="1"/>
  <c r="I300" i="6"/>
  <c r="J300" i="6" s="1"/>
  <c r="H300" i="6"/>
  <c r="J299" i="6"/>
  <c r="H299" i="6"/>
  <c r="I299" i="6" s="1"/>
  <c r="I298" i="6"/>
  <c r="J298" i="6"/>
  <c r="H298" i="6"/>
  <c r="H297" i="6"/>
  <c r="I297" i="6" s="1"/>
  <c r="J297" i="6" s="1"/>
  <c r="I296" i="6"/>
  <c r="J296" i="6" s="1"/>
  <c r="H296" i="6"/>
  <c r="J295" i="6"/>
  <c r="H295" i="6"/>
  <c r="I295" i="6" s="1"/>
  <c r="I294" i="6"/>
  <c r="J294" i="6"/>
  <c r="H294" i="6"/>
  <c r="H293" i="6"/>
  <c r="I293" i="6" s="1"/>
  <c r="J293" i="6"/>
  <c r="I292" i="6"/>
  <c r="J292" i="6" s="1"/>
  <c r="H292" i="6"/>
  <c r="H291" i="6"/>
  <c r="I291" i="6" s="1"/>
  <c r="J291" i="6" s="1"/>
  <c r="I290" i="6"/>
  <c r="J290" i="6"/>
  <c r="H290" i="6"/>
  <c r="H289" i="6"/>
  <c r="I289" i="6" s="1"/>
  <c r="J289" i="6" s="1"/>
  <c r="I288" i="6"/>
  <c r="J288" i="6" s="1"/>
  <c r="H288" i="6"/>
  <c r="I287" i="6"/>
  <c r="J287" i="6" s="1"/>
  <c r="H287" i="6"/>
  <c r="H286" i="6"/>
  <c r="I286" i="6"/>
  <c r="J286" i="6" s="1"/>
  <c r="H285" i="6"/>
  <c r="I285" i="6" s="1"/>
  <c r="J285" i="6" s="1"/>
  <c r="I284" i="6"/>
  <c r="J284" i="6" s="1"/>
  <c r="H284" i="6"/>
  <c r="J283" i="6"/>
  <c r="H283" i="6"/>
  <c r="I283" i="6" s="1"/>
  <c r="H282" i="6"/>
  <c r="I282" i="6"/>
  <c r="J282" i="6" s="1"/>
  <c r="H281" i="6"/>
  <c r="I281" i="6" s="1"/>
  <c r="J281" i="6" s="1"/>
  <c r="I280" i="6"/>
  <c r="J280" i="6" s="1"/>
  <c r="H280" i="6"/>
  <c r="J279" i="6"/>
  <c r="H279" i="6"/>
  <c r="I279" i="6" s="1"/>
  <c r="I278" i="6"/>
  <c r="J278" i="6"/>
  <c r="H278" i="6"/>
  <c r="H277" i="6"/>
  <c r="I277" i="6" s="1"/>
  <c r="J277" i="6" s="1"/>
  <c r="I276" i="6"/>
  <c r="J276" i="6" s="1"/>
  <c r="H276" i="6"/>
  <c r="I275" i="6"/>
  <c r="J275" i="6" s="1"/>
  <c r="H275" i="6"/>
  <c r="I274" i="6"/>
  <c r="J274" i="6"/>
  <c r="H274" i="6"/>
  <c r="H273" i="6"/>
  <c r="I273" i="6" s="1"/>
  <c r="J273" i="6" s="1"/>
  <c r="I272" i="6"/>
  <c r="J272" i="6" s="1"/>
  <c r="H272" i="6"/>
  <c r="I271" i="6"/>
  <c r="J271" i="6" s="1"/>
  <c r="H271" i="6"/>
  <c r="H270" i="6"/>
  <c r="I270" i="6"/>
  <c r="J270" i="6" s="1"/>
  <c r="H269" i="6"/>
  <c r="I269" i="6" s="1"/>
  <c r="J269" i="6" s="1"/>
  <c r="I268" i="6"/>
  <c r="J268" i="6" s="1"/>
  <c r="H268" i="6"/>
  <c r="J267" i="6"/>
  <c r="H267" i="6"/>
  <c r="I267" i="6" s="1"/>
  <c r="H266" i="6"/>
  <c r="I266" i="6"/>
  <c r="J266" i="6" s="1"/>
  <c r="H265" i="6"/>
  <c r="I265" i="6" s="1"/>
  <c r="J265" i="6" s="1"/>
  <c r="I264" i="6"/>
  <c r="J264" i="6" s="1"/>
  <c r="H264" i="6"/>
  <c r="J263" i="6"/>
  <c r="H263" i="6"/>
  <c r="I263" i="6" s="1"/>
  <c r="I262" i="6"/>
  <c r="J262" i="6"/>
  <c r="H262" i="6"/>
  <c r="H261" i="6"/>
  <c r="I261" i="6" s="1"/>
  <c r="J261" i="6"/>
  <c r="I260" i="6"/>
  <c r="J260" i="6" s="1"/>
  <c r="H260" i="6"/>
  <c r="H259" i="6"/>
  <c r="I259" i="6" s="1"/>
  <c r="J259" i="6" s="1"/>
  <c r="J258" i="6"/>
  <c r="H258" i="6"/>
  <c r="I258" i="6" s="1"/>
  <c r="H257" i="6"/>
  <c r="I257" i="6" s="1"/>
  <c r="J257" i="6"/>
  <c r="I256" i="6"/>
  <c r="J256" i="6" s="1"/>
  <c r="H256" i="6"/>
  <c r="H255" i="6"/>
  <c r="I255" i="6" s="1"/>
  <c r="J255" i="6" s="1"/>
  <c r="H254" i="6"/>
  <c r="I254" i="6"/>
  <c r="J254" i="6" s="1"/>
  <c r="H253" i="6"/>
  <c r="I253" i="6" s="1"/>
  <c r="J253" i="6"/>
  <c r="I252" i="6"/>
  <c r="J252" i="6" s="1"/>
  <c r="H252" i="6"/>
  <c r="H251" i="6"/>
  <c r="I251" i="6" s="1"/>
  <c r="J251" i="6" s="1"/>
  <c r="H250" i="6"/>
  <c r="I250" i="6"/>
  <c r="J250" i="6" s="1"/>
  <c r="H249" i="6"/>
  <c r="I249" i="6" s="1"/>
  <c r="J249" i="6"/>
  <c r="I248" i="6"/>
  <c r="J248" i="6" s="1"/>
  <c r="H248" i="6"/>
  <c r="H247" i="6"/>
  <c r="I247" i="6" s="1"/>
  <c r="J247" i="6" s="1"/>
  <c r="J246" i="6"/>
  <c r="H246" i="6"/>
  <c r="I246" i="6" s="1"/>
  <c r="H245" i="6"/>
  <c r="I245" i="6" s="1"/>
  <c r="J245" i="6"/>
  <c r="I244" i="6"/>
  <c r="J244" i="6" s="1"/>
  <c r="H244" i="6"/>
  <c r="H243" i="6"/>
  <c r="I243" i="6" s="1"/>
  <c r="J243" i="6" s="1"/>
  <c r="J242" i="6"/>
  <c r="H242" i="6"/>
  <c r="I242" i="6" s="1"/>
  <c r="H241" i="6"/>
  <c r="I241" i="6" s="1"/>
  <c r="J241" i="6"/>
  <c r="I240" i="6"/>
  <c r="J240" i="6" s="1"/>
  <c r="H240" i="6"/>
  <c r="H239" i="6"/>
  <c r="I239" i="6" s="1"/>
  <c r="J239" i="6" s="1"/>
  <c r="H238" i="6"/>
  <c r="I238" i="6"/>
  <c r="J238" i="6" s="1"/>
  <c r="H237" i="6"/>
  <c r="I237" i="6" s="1"/>
  <c r="J237" i="6"/>
  <c r="I236" i="6"/>
  <c r="J236" i="6" s="1"/>
  <c r="H236" i="6"/>
  <c r="H235" i="6"/>
  <c r="I235" i="6" s="1"/>
  <c r="J235" i="6" s="1"/>
  <c r="H234" i="6"/>
  <c r="I234" i="6"/>
  <c r="J234" i="6" s="1"/>
  <c r="H233" i="6"/>
  <c r="I233" i="6" s="1"/>
  <c r="J233" i="6"/>
  <c r="I232" i="6"/>
  <c r="J232" i="6" s="1"/>
  <c r="H232" i="6"/>
  <c r="H231" i="6"/>
  <c r="I231" i="6" s="1"/>
  <c r="J231" i="6" s="1"/>
  <c r="J230" i="6"/>
  <c r="H230" i="6"/>
  <c r="I230" i="6" s="1"/>
  <c r="H229" i="6"/>
  <c r="I229" i="6" s="1"/>
  <c r="J229" i="6"/>
  <c r="I228" i="6"/>
  <c r="J228" i="6" s="1"/>
  <c r="H228" i="6"/>
  <c r="H227" i="6"/>
  <c r="I227" i="6" s="1"/>
  <c r="J227" i="6" s="1"/>
  <c r="J226" i="6"/>
  <c r="H226" i="6"/>
  <c r="I226" i="6" s="1"/>
  <c r="H225" i="6"/>
  <c r="I225" i="6" s="1"/>
  <c r="J225" i="6"/>
  <c r="I224" i="6"/>
  <c r="J224" i="6" s="1"/>
  <c r="H224" i="6"/>
  <c r="H223" i="6"/>
  <c r="I223" i="6" s="1"/>
  <c r="J223" i="6" s="1"/>
  <c r="H222" i="6"/>
  <c r="I222" i="6"/>
  <c r="J222" i="6" s="1"/>
  <c r="H221" i="6"/>
  <c r="I221" i="6"/>
  <c r="J221" i="6" s="1"/>
  <c r="I220" i="6"/>
  <c r="J220" i="6"/>
  <c r="H220" i="6"/>
  <c r="H219" i="6"/>
  <c r="I219" i="6" s="1"/>
  <c r="J219" i="6" s="1"/>
  <c r="H218" i="6"/>
  <c r="I218" i="6" s="1"/>
  <c r="J218" i="6" s="1"/>
  <c r="H217" i="6"/>
  <c r="I217" i="6" s="1"/>
  <c r="J217" i="6" s="1"/>
  <c r="I216" i="6"/>
  <c r="J216" i="6" s="1"/>
  <c r="H216" i="6"/>
  <c r="J215" i="6"/>
  <c r="H215" i="6"/>
  <c r="I215" i="6" s="1"/>
  <c r="H214" i="6"/>
  <c r="I214" i="6"/>
  <c r="J214" i="6" s="1"/>
  <c r="J213" i="6"/>
  <c r="H213" i="6"/>
  <c r="I213" i="6"/>
  <c r="I212" i="6"/>
  <c r="J212" i="6"/>
  <c r="H212" i="6"/>
  <c r="H211" i="6"/>
  <c r="I211" i="6" s="1"/>
  <c r="J211" i="6"/>
  <c r="J210" i="6"/>
  <c r="H210" i="6"/>
  <c r="I210" i="6" s="1"/>
  <c r="H209" i="6"/>
  <c r="I209" i="6" s="1"/>
  <c r="J209" i="6"/>
  <c r="I208" i="6"/>
  <c r="J208" i="6" s="1"/>
  <c r="H208" i="6"/>
  <c r="H207" i="6"/>
  <c r="I207" i="6" s="1"/>
  <c r="J207" i="6" s="1"/>
  <c r="H206" i="6"/>
  <c r="I206" i="6"/>
  <c r="J206" i="6" s="1"/>
  <c r="H205" i="6"/>
  <c r="I205" i="6"/>
  <c r="J205" i="6" s="1"/>
  <c r="J204" i="6"/>
  <c r="H204" i="6"/>
  <c r="I204" i="6" s="1"/>
  <c r="H203" i="6"/>
  <c r="I203" i="6" s="1"/>
  <c r="J203" i="6" s="1"/>
  <c r="I202" i="6"/>
  <c r="J202" i="6"/>
  <c r="H202" i="6"/>
  <c r="H201" i="6"/>
  <c r="I201" i="6" s="1"/>
  <c r="J201" i="6" s="1"/>
  <c r="I200" i="6"/>
  <c r="J200" i="6" s="1"/>
  <c r="H200" i="6"/>
  <c r="J199" i="6"/>
  <c r="H199" i="6"/>
  <c r="I199" i="6" s="1"/>
  <c r="H198" i="6"/>
  <c r="I198" i="6"/>
  <c r="J198" i="6" s="1"/>
  <c r="J197" i="6"/>
  <c r="H197" i="6"/>
  <c r="I197" i="6"/>
  <c r="J196" i="6"/>
  <c r="H196" i="6"/>
  <c r="I196" i="6" s="1"/>
  <c r="H195" i="6"/>
  <c r="I195" i="6" s="1"/>
  <c r="J195" i="6" s="1"/>
  <c r="I194" i="6"/>
  <c r="J194" i="6"/>
  <c r="H194" i="6"/>
  <c r="H193" i="6"/>
  <c r="I193" i="6" s="1"/>
  <c r="J193" i="6"/>
  <c r="I192" i="6"/>
  <c r="J192" i="6" s="1"/>
  <c r="H192" i="6"/>
  <c r="H191" i="6"/>
  <c r="I191" i="6" s="1"/>
  <c r="J191" i="6" s="1"/>
  <c r="H190" i="6"/>
  <c r="I190" i="6"/>
  <c r="J190" i="6" s="1"/>
  <c r="H189" i="6"/>
  <c r="I189" i="6"/>
  <c r="J189" i="6" s="1"/>
  <c r="J188" i="6"/>
  <c r="H188" i="6"/>
  <c r="I188" i="6" s="1"/>
  <c r="H187" i="6"/>
  <c r="I187" i="6" s="1"/>
  <c r="J187" i="6" s="1"/>
  <c r="I186" i="6"/>
  <c r="J186" i="6"/>
  <c r="H186" i="6"/>
  <c r="H185" i="6"/>
  <c r="I185" i="6" s="1"/>
  <c r="J185" i="6" s="1"/>
  <c r="I184" i="6"/>
  <c r="J184" i="6" s="1"/>
  <c r="H184" i="6"/>
  <c r="J183" i="6"/>
  <c r="H183" i="6"/>
  <c r="I183" i="6" s="1"/>
  <c r="H182" i="6"/>
  <c r="I182" i="6"/>
  <c r="J182" i="6" s="1"/>
  <c r="J181" i="6"/>
  <c r="H181" i="6"/>
  <c r="I181" i="6"/>
  <c r="J180" i="6"/>
  <c r="H180" i="6"/>
  <c r="I180" i="6" s="1"/>
  <c r="H179" i="6"/>
  <c r="I179" i="6" s="1"/>
  <c r="J179" i="6" s="1"/>
  <c r="I178" i="6"/>
  <c r="J178" i="6"/>
  <c r="H178" i="6"/>
  <c r="H177" i="6"/>
  <c r="I177" i="6" s="1"/>
  <c r="J177" i="6"/>
  <c r="I175" i="6"/>
  <c r="J175" i="6" s="1"/>
  <c r="H175" i="6"/>
  <c r="H173" i="6"/>
  <c r="I173" i="6" s="1"/>
  <c r="J173" i="6" s="1"/>
  <c r="H172" i="6"/>
  <c r="I172" i="6"/>
  <c r="J172" i="6" s="1"/>
  <c r="H171" i="6"/>
  <c r="I171" i="6"/>
  <c r="J171" i="6" s="1"/>
  <c r="J170" i="6"/>
  <c r="H170" i="6"/>
  <c r="I170" i="6" s="1"/>
  <c r="H169" i="6"/>
  <c r="I169" i="6" s="1"/>
  <c r="J169" i="6" s="1"/>
  <c r="I168" i="6"/>
  <c r="J168" i="6"/>
  <c r="H168" i="6"/>
  <c r="H167" i="6"/>
  <c r="I167" i="6" s="1"/>
  <c r="J167" i="6" s="1"/>
  <c r="I166" i="6"/>
  <c r="J166" i="6" s="1"/>
  <c r="H166" i="6"/>
  <c r="J165" i="6"/>
  <c r="H165" i="6"/>
  <c r="I165" i="6" s="1"/>
  <c r="H164" i="6"/>
  <c r="I164" i="6"/>
  <c r="J164" i="6" s="1"/>
  <c r="J163" i="6"/>
  <c r="H163" i="6"/>
  <c r="I163" i="6"/>
  <c r="I162" i="6"/>
  <c r="J162" i="6"/>
  <c r="H162" i="6"/>
  <c r="H161" i="6"/>
  <c r="I161" i="6" s="1"/>
  <c r="J161" i="6"/>
  <c r="J160" i="6"/>
  <c r="H160" i="6"/>
  <c r="I160" i="6" s="1"/>
  <c r="H159" i="6"/>
  <c r="I159" i="6" s="1"/>
  <c r="J159" i="6"/>
  <c r="I158" i="6"/>
  <c r="J158" i="6" s="1"/>
  <c r="H158" i="6"/>
  <c r="H156" i="6"/>
  <c r="I156" i="6" s="1"/>
  <c r="J156" i="6" s="1"/>
  <c r="H155" i="6"/>
  <c r="I155" i="6"/>
  <c r="J155" i="6" s="1"/>
  <c r="H154" i="6"/>
  <c r="I154" i="6"/>
  <c r="J154" i="6" s="1"/>
  <c r="I153" i="6"/>
  <c r="J153" i="6"/>
  <c r="H153" i="6"/>
  <c r="H152" i="6"/>
  <c r="I152" i="6" s="1"/>
  <c r="J152" i="6" s="1"/>
  <c r="H151" i="6"/>
  <c r="I151" i="6" s="1"/>
  <c r="J151" i="6" s="1"/>
  <c r="H150" i="6"/>
  <c r="I150" i="6" s="1"/>
  <c r="J150" i="6" s="1"/>
  <c r="I149" i="6"/>
  <c r="J149" i="6" s="1"/>
  <c r="H149" i="6"/>
  <c r="J148" i="6"/>
  <c r="H148" i="6"/>
  <c r="I148" i="6" s="1"/>
  <c r="H147" i="6"/>
  <c r="I147" i="6"/>
  <c r="J147" i="6" s="1"/>
  <c r="J146" i="6"/>
  <c r="H146" i="6"/>
  <c r="I146" i="6"/>
  <c r="I145" i="6"/>
  <c r="J145" i="6"/>
  <c r="H145" i="6"/>
  <c r="H144" i="6"/>
  <c r="I144" i="6" s="1"/>
  <c r="J144" i="6"/>
  <c r="J143" i="6"/>
  <c r="H143" i="6"/>
  <c r="I143" i="6" s="1"/>
  <c r="H142" i="6"/>
  <c r="I142" i="6" s="1"/>
  <c r="J142" i="6"/>
  <c r="I141" i="6"/>
  <c r="J141" i="6" s="1"/>
  <c r="H141" i="6"/>
  <c r="H140" i="6"/>
  <c r="I140" i="6" s="1"/>
  <c r="J140" i="6" s="1"/>
  <c r="H139" i="6"/>
  <c r="I139" i="6"/>
  <c r="J139" i="6" s="1"/>
  <c r="H138" i="6"/>
  <c r="I138" i="6"/>
  <c r="J138" i="6" s="1"/>
  <c r="I137" i="6"/>
  <c r="J137" i="6"/>
  <c r="H137" i="6"/>
  <c r="H136" i="6"/>
  <c r="I136" i="6" s="1"/>
  <c r="J136" i="6" s="1"/>
  <c r="H135" i="6"/>
  <c r="I135" i="6" s="1"/>
  <c r="J135" i="6" s="1"/>
  <c r="H134" i="6"/>
  <c r="I134" i="6" s="1"/>
  <c r="J134" i="6" s="1"/>
  <c r="I133" i="6"/>
  <c r="J133" i="6" s="1"/>
  <c r="H133" i="6"/>
  <c r="J132" i="6"/>
  <c r="H132" i="6"/>
  <c r="I132" i="6" s="1"/>
  <c r="H131" i="6"/>
  <c r="I131" i="6"/>
  <c r="J131" i="6" s="1"/>
  <c r="J130" i="6"/>
  <c r="H130" i="6"/>
  <c r="I130" i="6"/>
  <c r="I129" i="6"/>
  <c r="J129" i="6"/>
  <c r="H129" i="6"/>
  <c r="H128" i="6"/>
  <c r="I128" i="6" s="1"/>
  <c r="J128" i="6"/>
  <c r="J127" i="6"/>
  <c r="H127" i="6"/>
  <c r="I127" i="6" s="1"/>
  <c r="H126" i="6"/>
  <c r="I126" i="6" s="1"/>
  <c r="J126" i="6"/>
  <c r="I124" i="6"/>
  <c r="J124" i="6" s="1"/>
  <c r="H124" i="6"/>
  <c r="H122" i="6"/>
  <c r="I122" i="6" s="1"/>
  <c r="J122" i="6" s="1"/>
  <c r="H120" i="6"/>
  <c r="I120" i="6"/>
  <c r="J120" i="6" s="1"/>
  <c r="H119" i="6"/>
  <c r="I119" i="6"/>
  <c r="J119" i="6" s="1"/>
  <c r="I117" i="6"/>
  <c r="J117" i="6"/>
  <c r="H117" i="6"/>
  <c r="H116" i="6"/>
  <c r="I116" i="6" s="1"/>
  <c r="J116" i="6" s="1"/>
  <c r="H115" i="6"/>
  <c r="I115" i="6" s="1"/>
  <c r="J115" i="6" s="1"/>
  <c r="H114" i="6"/>
  <c r="I114" i="6" s="1"/>
  <c r="J114" i="6" s="1"/>
  <c r="I113" i="6"/>
  <c r="J113" i="6" s="1"/>
  <c r="H113" i="6"/>
  <c r="J112" i="6"/>
  <c r="H112" i="6"/>
  <c r="I112" i="6" s="1"/>
  <c r="H111" i="6"/>
  <c r="I111" i="6"/>
  <c r="J111" i="6" s="1"/>
  <c r="J110" i="6"/>
  <c r="H110" i="6"/>
  <c r="I110" i="6"/>
  <c r="I109" i="6"/>
  <c r="J109" i="6"/>
  <c r="H109" i="6"/>
  <c r="H108" i="6"/>
  <c r="I108" i="6" s="1"/>
  <c r="J108" i="6"/>
  <c r="J107" i="6"/>
  <c r="H107" i="6"/>
  <c r="I107" i="6" s="1"/>
  <c r="H106" i="6"/>
  <c r="I106" i="6" s="1"/>
  <c r="J106" i="6"/>
  <c r="H104" i="6"/>
  <c r="I104" i="6" s="1"/>
  <c r="H103" i="6"/>
  <c r="I103" i="6"/>
  <c r="I102" i="6"/>
  <c r="J102" i="6" s="1"/>
  <c r="H102" i="6"/>
  <c r="H101" i="6"/>
  <c r="I101" i="6" s="1"/>
  <c r="J101" i="6" s="1"/>
  <c r="F101" i="6"/>
  <c r="I99" i="6"/>
  <c r="J99" i="6" s="1"/>
  <c r="H99" i="6"/>
  <c r="H98" i="6"/>
  <c r="I98" i="6" s="1"/>
  <c r="J98" i="6" s="1"/>
  <c r="J97" i="6"/>
  <c r="H97" i="6"/>
  <c r="I97" i="6"/>
  <c r="I96" i="6"/>
  <c r="J96" i="6" s="1"/>
  <c r="H96" i="6"/>
  <c r="H95" i="6"/>
  <c r="I95" i="6" s="1"/>
  <c r="J95" i="6" s="1"/>
  <c r="J94" i="6"/>
  <c r="H94" i="6"/>
  <c r="I94" i="6" s="1"/>
  <c r="H93" i="6"/>
  <c r="I93" i="6"/>
  <c r="J93" i="6" s="1"/>
  <c r="I92" i="6"/>
  <c r="J92" i="6" s="1"/>
  <c r="H92" i="6"/>
  <c r="H91" i="6"/>
  <c r="I91" i="6" s="1"/>
  <c r="J91" i="6" s="1"/>
  <c r="H90" i="6"/>
  <c r="I90" i="6" s="1"/>
  <c r="J90" i="6" s="1"/>
  <c r="J88" i="6"/>
  <c r="H88" i="6"/>
  <c r="I88" i="6"/>
  <c r="I86" i="6"/>
  <c r="J86" i="6" s="1"/>
  <c r="H86" i="6"/>
  <c r="H84" i="6"/>
  <c r="I84" i="6" s="1"/>
  <c r="J84" i="6" s="1"/>
  <c r="J83" i="6"/>
  <c r="H83" i="6"/>
  <c r="I83" i="6" s="1"/>
  <c r="H81" i="6"/>
  <c r="I81" i="6"/>
  <c r="J81" i="6" s="1"/>
  <c r="I79" i="6"/>
  <c r="J79" i="6" s="1"/>
  <c r="H79" i="6"/>
  <c r="I78" i="6"/>
  <c r="J78" i="6" s="1"/>
  <c r="H78" i="6"/>
  <c r="J76" i="6"/>
  <c r="H76" i="6"/>
  <c r="I76" i="6" s="1"/>
  <c r="H75" i="6"/>
  <c r="I75" i="6"/>
  <c r="J75" i="6" s="1"/>
  <c r="J73" i="6"/>
  <c r="I73" i="6"/>
  <c r="H73" i="6"/>
  <c r="J72" i="6"/>
  <c r="I72" i="6"/>
  <c r="H72" i="6"/>
  <c r="H70" i="6"/>
  <c r="I70" i="6" s="1"/>
  <c r="J70" i="6" s="1"/>
  <c r="J68" i="6"/>
  <c r="H68" i="6"/>
  <c r="I68" i="6"/>
  <c r="F66" i="6"/>
  <c r="I64" i="6"/>
  <c r="J64" i="6" s="1"/>
  <c r="H64" i="6"/>
  <c r="H63" i="6"/>
  <c r="I63" i="6"/>
  <c r="J63" i="6" s="1"/>
  <c r="I62" i="6"/>
  <c r="J62" i="6" s="1"/>
  <c r="H62" i="6"/>
  <c r="H60" i="6"/>
  <c r="I60" i="6"/>
  <c r="J60" i="6" s="1"/>
  <c r="H59" i="6"/>
  <c r="I59" i="6" s="1"/>
  <c r="J59" i="6" s="1"/>
  <c r="J58" i="6"/>
  <c r="I58" i="6"/>
  <c r="H58" i="6"/>
  <c r="H56" i="6"/>
  <c r="I56" i="6" s="1"/>
  <c r="J56" i="6" s="1"/>
  <c r="H55" i="6"/>
  <c r="I55" i="6"/>
  <c r="J55" i="6" s="1"/>
  <c r="I54" i="6"/>
  <c r="J54" i="6" s="1"/>
  <c r="H54" i="6"/>
  <c r="H53" i="6"/>
  <c r="I53" i="6"/>
  <c r="J53" i="6" s="1"/>
  <c r="I51" i="6"/>
  <c r="H49" i="6"/>
  <c r="I49" i="6"/>
  <c r="J49" i="6" s="1"/>
  <c r="I48" i="6"/>
  <c r="J48" i="6" s="1"/>
  <c r="H48" i="6"/>
  <c r="H46" i="6"/>
  <c r="I46" i="6"/>
  <c r="J46" i="6" s="1"/>
  <c r="H45" i="6"/>
  <c r="I45" i="6" s="1"/>
  <c r="J45" i="6" s="1"/>
  <c r="I43" i="6"/>
  <c r="J41" i="6"/>
  <c r="H41" i="6"/>
  <c r="I41" i="6" s="1"/>
  <c r="I39" i="6"/>
  <c r="I38" i="6"/>
  <c r="H36" i="6"/>
  <c r="I36" i="6" s="1"/>
  <c r="J36" i="6" s="1"/>
  <c r="H34" i="6"/>
  <c r="I34" i="6" s="1"/>
  <c r="J34" i="6" s="1"/>
  <c r="I32" i="6"/>
  <c r="J32" i="6" s="1"/>
  <c r="H32" i="6"/>
  <c r="H31" i="6"/>
  <c r="I31" i="6" s="1"/>
  <c r="J31" i="6" s="1"/>
  <c r="H30" i="6"/>
  <c r="I30" i="6" s="1"/>
  <c r="J30" i="6" s="1"/>
  <c r="J29" i="6"/>
  <c r="H29" i="6"/>
  <c r="I29" i="6" s="1"/>
  <c r="I27" i="6"/>
  <c r="J27" i="6"/>
  <c r="H27" i="6"/>
  <c r="H26" i="6"/>
  <c r="I26" i="6"/>
  <c r="J26" i="6"/>
  <c r="I24" i="6"/>
  <c r="J24" i="6" s="1"/>
  <c r="H24" i="6"/>
  <c r="H23" i="6"/>
  <c r="I23" i="6" s="1"/>
  <c r="J23" i="6" s="1"/>
  <c r="I21" i="6"/>
  <c r="J21" i="6" s="1"/>
  <c r="H21" i="6"/>
  <c r="H19" i="6"/>
  <c r="I19" i="6" s="1"/>
  <c r="J19" i="6" s="1"/>
  <c r="H17" i="6"/>
  <c r="I17" i="6" s="1"/>
  <c r="J15" i="6"/>
  <c r="H15" i="6"/>
  <c r="I15" i="6" s="1"/>
  <c r="I36" i="1"/>
  <c r="I17" i="1"/>
  <c r="I1414" i="5"/>
  <c r="J1411" i="5"/>
  <c r="K1411" i="5"/>
  <c r="K1410" i="5"/>
  <c r="J1410" i="5"/>
  <c r="J1409" i="5"/>
  <c r="K1409" i="5"/>
  <c r="K1408" i="5"/>
  <c r="J1408" i="5"/>
  <c r="J1407" i="5"/>
  <c r="K1407" i="5"/>
  <c r="K1406" i="5"/>
  <c r="J1406" i="5"/>
  <c r="J1405" i="5"/>
  <c r="J1404" i="5"/>
  <c r="K1404" i="5" s="1"/>
  <c r="J1403" i="5"/>
  <c r="J1402" i="5"/>
  <c r="K1402" i="5" s="1"/>
  <c r="G1402" i="5"/>
  <c r="J1401" i="5"/>
  <c r="J1400" i="5"/>
  <c r="K1400" i="5" s="1"/>
  <c r="J1399" i="5"/>
  <c r="K1399" i="5" s="1"/>
  <c r="J1398" i="5"/>
  <c r="K1398" i="5" s="1"/>
  <c r="J1397" i="5"/>
  <c r="K1397" i="5" s="1"/>
  <c r="J1396" i="5"/>
  <c r="K1396" i="5" s="1"/>
  <c r="J1395" i="5"/>
  <c r="K1395" i="5" s="1"/>
  <c r="J1394" i="5"/>
  <c r="K1394" i="5" s="1"/>
  <c r="J1393" i="5"/>
  <c r="K1393" i="5" s="1"/>
  <c r="J1392" i="5"/>
  <c r="K1392" i="5" s="1"/>
  <c r="J1391" i="5"/>
  <c r="K1391" i="5" s="1"/>
  <c r="J1390" i="5"/>
  <c r="J1389" i="5"/>
  <c r="K1389" i="5" s="1"/>
  <c r="J1388" i="5"/>
  <c r="K1388" i="5" s="1"/>
  <c r="J1387" i="5"/>
  <c r="K1387" i="5" s="1"/>
  <c r="J1386" i="5"/>
  <c r="K1386" i="5" s="1"/>
  <c r="J1385" i="5"/>
  <c r="J1384" i="5"/>
  <c r="K1384" i="5" s="1"/>
  <c r="J1383" i="5"/>
  <c r="K1382" i="5"/>
  <c r="J1382" i="5"/>
  <c r="J1381" i="5"/>
  <c r="K1381" i="5" s="1"/>
  <c r="K1380" i="5"/>
  <c r="J1380" i="5"/>
  <c r="J1379" i="5"/>
  <c r="K1379" i="5" s="1"/>
  <c r="K1378" i="5"/>
  <c r="J1378" i="5"/>
  <c r="J1377" i="5"/>
  <c r="K1377" i="5" s="1"/>
  <c r="J1376" i="5"/>
  <c r="J1375" i="5"/>
  <c r="K1375" i="5" s="1"/>
  <c r="J1374" i="5"/>
  <c r="K1374" i="5" s="1"/>
  <c r="J1373" i="5"/>
  <c r="K1373" i="5" s="1"/>
  <c r="J1372" i="5"/>
  <c r="K1372" i="5" s="1"/>
  <c r="J1371" i="5"/>
  <c r="K1371" i="5" s="1"/>
  <c r="J1370" i="5"/>
  <c r="K1370" i="5" s="1"/>
  <c r="J1369" i="5"/>
  <c r="K1369" i="5" s="1"/>
  <c r="J1368" i="5"/>
  <c r="K1368" i="5" s="1"/>
  <c r="J1367" i="5"/>
  <c r="K1367" i="5" s="1"/>
  <c r="J1366" i="5"/>
  <c r="K1366" i="5" s="1"/>
  <c r="J1365" i="5"/>
  <c r="K1365" i="5" s="1"/>
  <c r="J1364" i="5"/>
  <c r="K1363" i="5"/>
  <c r="J1363" i="5"/>
  <c r="J1362" i="5"/>
  <c r="J1361" i="5"/>
  <c r="K1361" i="5" s="1"/>
  <c r="J1360" i="5"/>
  <c r="J1359" i="5"/>
  <c r="K1359" i="5" s="1"/>
  <c r="K1358" i="5"/>
  <c r="J1358" i="5"/>
  <c r="J1357" i="5"/>
  <c r="J1356" i="5"/>
  <c r="K1356" i="5" s="1"/>
  <c r="J1355" i="5"/>
  <c r="K1355" i="5" s="1"/>
  <c r="J1354" i="5"/>
  <c r="K1353" i="5"/>
  <c r="J1353" i="5"/>
  <c r="J1352" i="5"/>
  <c r="K1352" i="5" s="1"/>
  <c r="K1351" i="5"/>
  <c r="J1351" i="5"/>
  <c r="J1350" i="5"/>
  <c r="K1350" i="5" s="1"/>
  <c r="K1349" i="5"/>
  <c r="J1349" i="5"/>
  <c r="J1348" i="5"/>
  <c r="J1347" i="5"/>
  <c r="K1347" i="5" s="1"/>
  <c r="J1346" i="5"/>
  <c r="K1346" i="5" s="1"/>
  <c r="J1345" i="5"/>
  <c r="K1344" i="5"/>
  <c r="J1344" i="5"/>
  <c r="J1343" i="5"/>
  <c r="J1342" i="5"/>
  <c r="K1342" i="5" s="1"/>
  <c r="J1341" i="5"/>
  <c r="K1341" i="5" s="1"/>
  <c r="J1340" i="5"/>
  <c r="K1340" i="5" s="1"/>
  <c r="J1339" i="5"/>
  <c r="K1338" i="5"/>
  <c r="J1338" i="5"/>
  <c r="K1337" i="5"/>
  <c r="J1337" i="5"/>
  <c r="K1336" i="5"/>
  <c r="J1336" i="5"/>
  <c r="K1335" i="5"/>
  <c r="J1335" i="5"/>
  <c r="K1334" i="5"/>
  <c r="J1334" i="5"/>
  <c r="K1333" i="5"/>
  <c r="J1333" i="5"/>
  <c r="J1332" i="5"/>
  <c r="J1331" i="5"/>
  <c r="K1331" i="5" s="1"/>
  <c r="J1330" i="5"/>
  <c r="K1329" i="5"/>
  <c r="J1329" i="5"/>
  <c r="J1328" i="5"/>
  <c r="J1327" i="5"/>
  <c r="K1327" i="5" s="1"/>
  <c r="J1326" i="5"/>
  <c r="J1325" i="5"/>
  <c r="K1325" i="5" s="1"/>
  <c r="K1324" i="5"/>
  <c r="J1324" i="5"/>
  <c r="J1323" i="5"/>
  <c r="K1323" i="5" s="1"/>
  <c r="J1322" i="5"/>
  <c r="J1321" i="5"/>
  <c r="K1321" i="5" s="1"/>
  <c r="J1320" i="5"/>
  <c r="K1319" i="5"/>
  <c r="J1319" i="5"/>
  <c r="J1318" i="5"/>
  <c r="K1318" i="5" s="1"/>
  <c r="K1317" i="5"/>
  <c r="J1317" i="5"/>
  <c r="J1316" i="5"/>
  <c r="K1316" i="5" s="1"/>
  <c r="K1315" i="5"/>
  <c r="J1315" i="5"/>
  <c r="J1314" i="5"/>
  <c r="J1313" i="5"/>
  <c r="K1313" i="5" s="1"/>
  <c r="J1312" i="5"/>
  <c r="K1312" i="5" s="1"/>
  <c r="J1311" i="5"/>
  <c r="K1311" i="5" s="1"/>
  <c r="J1310" i="5"/>
  <c r="K1310" i="5" s="1"/>
  <c r="J1309" i="5"/>
  <c r="K1309" i="5" s="1"/>
  <c r="J1308" i="5"/>
  <c r="K1308" i="5" s="1"/>
  <c r="J1307" i="5"/>
  <c r="K1307" i="5" s="1"/>
  <c r="J1306" i="5"/>
  <c r="J1305" i="5"/>
  <c r="K1305" i="5" s="1"/>
  <c r="J1304" i="5"/>
  <c r="J1303" i="5"/>
  <c r="K1303" i="5" s="1"/>
  <c r="J1302" i="5"/>
  <c r="K1302" i="5" s="1"/>
  <c r="J1301" i="5"/>
  <c r="J1300" i="5"/>
  <c r="K1300" i="5" s="1"/>
  <c r="K1299" i="5"/>
  <c r="J1299" i="5"/>
  <c r="J1298" i="5"/>
  <c r="J1297" i="5"/>
  <c r="K1297" i="5" s="1"/>
  <c r="J1296" i="5"/>
  <c r="K1296" i="5" s="1"/>
  <c r="J1295" i="5"/>
  <c r="K1295" i="5" s="1"/>
  <c r="J1294" i="5"/>
  <c r="J1293" i="5"/>
  <c r="K1293" i="5" s="1"/>
  <c r="J1292" i="5"/>
  <c r="J1291" i="5"/>
  <c r="K1291" i="5" s="1"/>
  <c r="J1290" i="5"/>
  <c r="K1289" i="5"/>
  <c r="J1289" i="5"/>
  <c r="J1288" i="5"/>
  <c r="K1288" i="5" s="1"/>
  <c r="K1287" i="5"/>
  <c r="J1287" i="5"/>
  <c r="J1286" i="5"/>
  <c r="K1286" i="5" s="1"/>
  <c r="K1285" i="5"/>
  <c r="J1285" i="5"/>
  <c r="J1284" i="5"/>
  <c r="J1283" i="5"/>
  <c r="K1283" i="5" s="1"/>
  <c r="J1282" i="5"/>
  <c r="K1282" i="5" s="1"/>
  <c r="J1281" i="5"/>
  <c r="K1281" i="5" s="1"/>
  <c r="J1280" i="5"/>
  <c r="K1280" i="5" s="1"/>
  <c r="J1279" i="5"/>
  <c r="K1279" i="5" s="1"/>
  <c r="J1278" i="5"/>
  <c r="K1278" i="5" s="1"/>
  <c r="J1277" i="5"/>
  <c r="K1277" i="5" s="1"/>
  <c r="J1276" i="5"/>
  <c r="J1275" i="5"/>
  <c r="K1275" i="5" s="1"/>
  <c r="J1274" i="5"/>
  <c r="J1273" i="5"/>
  <c r="K1273" i="5" s="1"/>
  <c r="J1272" i="5"/>
  <c r="K1271" i="5"/>
  <c r="J1271" i="5"/>
  <c r="J1270" i="5"/>
  <c r="K1270" i="5" s="1"/>
  <c r="K1269" i="5"/>
  <c r="J1269" i="5"/>
  <c r="J1268" i="5"/>
  <c r="K1268" i="5" s="1"/>
  <c r="K1267" i="5"/>
  <c r="J1267" i="5"/>
  <c r="J1266" i="5"/>
  <c r="K1266" i="5" s="1"/>
  <c r="K1265" i="5"/>
  <c r="J1265" i="5"/>
  <c r="J1264" i="5"/>
  <c r="J1263" i="5"/>
  <c r="K1263" i="5" s="1"/>
  <c r="J1262" i="5"/>
  <c r="J1261" i="5"/>
  <c r="K1261" i="5" s="1"/>
  <c r="K1260" i="5"/>
  <c r="J1260" i="5"/>
  <c r="J1259" i="5"/>
  <c r="J1258" i="5"/>
  <c r="K1258" i="5" s="1"/>
  <c r="J1257" i="5"/>
  <c r="G1256" i="5"/>
  <c r="J1256" i="5" s="1"/>
  <c r="K1256" i="5" s="1"/>
  <c r="J1255" i="5"/>
  <c r="K1255" i="5" s="1"/>
  <c r="J1254" i="5"/>
  <c r="K1254" i="5" s="1"/>
  <c r="J1253" i="5"/>
  <c r="K1253" i="5" s="1"/>
  <c r="J1252" i="5"/>
  <c r="K1251" i="5"/>
  <c r="J1251" i="5"/>
  <c r="J1250" i="5"/>
  <c r="K1250" i="5" s="1"/>
  <c r="J1249" i="5"/>
  <c r="J1248" i="5"/>
  <c r="K1248" i="5" s="1"/>
  <c r="J1247" i="5"/>
  <c r="K1246" i="5"/>
  <c r="J1246" i="5"/>
  <c r="J1245" i="5"/>
  <c r="J1244" i="5"/>
  <c r="K1244" i="5" s="1"/>
  <c r="J1243" i="5"/>
  <c r="K1243" i="5" s="1"/>
  <c r="J1242" i="5"/>
  <c r="K1242" i="5" s="1"/>
  <c r="J1241" i="5"/>
  <c r="K1241" i="5" s="1"/>
  <c r="J1240" i="5"/>
  <c r="K1240" i="5" s="1"/>
  <c r="J1239" i="5"/>
  <c r="K1239" i="5" s="1"/>
  <c r="J1238" i="5"/>
  <c r="K1237" i="5"/>
  <c r="J1237" i="5"/>
  <c r="J1236" i="5"/>
  <c r="K1236" i="5" s="1"/>
  <c r="J1235" i="5"/>
  <c r="J1234" i="5"/>
  <c r="K1234" i="5" s="1"/>
  <c r="J1233" i="5"/>
  <c r="K1233" i="5" s="1"/>
  <c r="J1232" i="5"/>
  <c r="K1232" i="5" s="1"/>
  <c r="J1231" i="5"/>
  <c r="K1231" i="5" s="1"/>
  <c r="J1230" i="5"/>
  <c r="K1230" i="5" s="1"/>
  <c r="J1229" i="5"/>
  <c r="K1229" i="5" s="1"/>
  <c r="J1228" i="5"/>
  <c r="J1227" i="5"/>
  <c r="K1227" i="5" s="1"/>
  <c r="J1226" i="5"/>
  <c r="J1225" i="5"/>
  <c r="K1225" i="5" s="1"/>
  <c r="J1224" i="5"/>
  <c r="K1224" i="5" s="1"/>
  <c r="J1223" i="5"/>
  <c r="K1223" i="5" s="1"/>
  <c r="J1222" i="5"/>
  <c r="K1222" i="5" s="1"/>
  <c r="J1221" i="5"/>
  <c r="J1220" i="5"/>
  <c r="K1220" i="5" s="1"/>
  <c r="K1219" i="5"/>
  <c r="J1219" i="5"/>
  <c r="J1218" i="5"/>
  <c r="K1218" i="5" s="1"/>
  <c r="K1217" i="5"/>
  <c r="J1217" i="5"/>
  <c r="J1216" i="5"/>
  <c r="K1216" i="5" s="1"/>
  <c r="K1215" i="5"/>
  <c r="J1215" i="5"/>
  <c r="J1214" i="5"/>
  <c r="J1213" i="5"/>
  <c r="K1213" i="5" s="1"/>
  <c r="J1212" i="5"/>
  <c r="J1211" i="5"/>
  <c r="K1211" i="5" s="1"/>
  <c r="J1210" i="5"/>
  <c r="J1209" i="5"/>
  <c r="K1209" i="5" s="1"/>
  <c r="J1208" i="5"/>
  <c r="K1208" i="5" s="1"/>
  <c r="J1207" i="5"/>
  <c r="J1206" i="5"/>
  <c r="K1206" i="5" s="1"/>
  <c r="K1205" i="5"/>
  <c r="J1205" i="5"/>
  <c r="J1204" i="5"/>
  <c r="J1203" i="5"/>
  <c r="K1203" i="5" s="1"/>
  <c r="J1202" i="5"/>
  <c r="J1201" i="5"/>
  <c r="K1201" i="5" s="1"/>
  <c r="J1200" i="5"/>
  <c r="J1199" i="5"/>
  <c r="K1199" i="5" s="1"/>
  <c r="J1198" i="5"/>
  <c r="K1198" i="5" s="1"/>
  <c r="J1197" i="5"/>
  <c r="J1196" i="5"/>
  <c r="K1196" i="5" s="1"/>
  <c r="K1195" i="5"/>
  <c r="J1195" i="5"/>
  <c r="J1194" i="5"/>
  <c r="K1194" i="5" s="1"/>
  <c r="K1193" i="5"/>
  <c r="J1193" i="5"/>
  <c r="J1192" i="5"/>
  <c r="K1192" i="5"/>
  <c r="K1191" i="5"/>
  <c r="J1191" i="5"/>
  <c r="J1190" i="5"/>
  <c r="K1190" i="5"/>
  <c r="J1189" i="5"/>
  <c r="J1188" i="5"/>
  <c r="K1188" i="5" s="1"/>
  <c r="J1187" i="5"/>
  <c r="K1186" i="5"/>
  <c r="J1186" i="5"/>
  <c r="J1185" i="5"/>
  <c r="J1184" i="5"/>
  <c r="K1184" i="5" s="1"/>
  <c r="J1183" i="5"/>
  <c r="J1182" i="5"/>
  <c r="K1182" i="5" s="1"/>
  <c r="K1181" i="5"/>
  <c r="J1181" i="5"/>
  <c r="J1180" i="5"/>
  <c r="K1180" i="5" s="1"/>
  <c r="K1179" i="5"/>
  <c r="J1179" i="5"/>
  <c r="J1178" i="5"/>
  <c r="K1178" i="5" s="1"/>
  <c r="J1177" i="5"/>
  <c r="J1176" i="5"/>
  <c r="K1176" i="5" s="1"/>
  <c r="J1175" i="5"/>
  <c r="K1175" i="5" s="1"/>
  <c r="J1174" i="5"/>
  <c r="K1174" i="5" s="1"/>
  <c r="J1173" i="5"/>
  <c r="K1172" i="5"/>
  <c r="J1172" i="5"/>
  <c r="J1171" i="5"/>
  <c r="K1171" i="5" s="1"/>
  <c r="J1170" i="5"/>
  <c r="J1169" i="5"/>
  <c r="K1169" i="5" s="1"/>
  <c r="J1168" i="5"/>
  <c r="K1167" i="5"/>
  <c r="J1167" i="5"/>
  <c r="J1166" i="5"/>
  <c r="K1166" i="5"/>
  <c r="K1165" i="5"/>
  <c r="J1165" i="5"/>
  <c r="J1164" i="5"/>
  <c r="K1164" i="5"/>
  <c r="K1163" i="5"/>
  <c r="J1163" i="5"/>
  <c r="J1162" i="5"/>
  <c r="K1162" i="5"/>
  <c r="J1161" i="5"/>
  <c r="J1160" i="5"/>
  <c r="K1160" i="5" s="1"/>
  <c r="J1159" i="5"/>
  <c r="K1158" i="5"/>
  <c r="J1158" i="5"/>
  <c r="J1157" i="5"/>
  <c r="K1157" i="5" s="1"/>
  <c r="J1156" i="5"/>
  <c r="J1155" i="5"/>
  <c r="K1155" i="5" s="1"/>
  <c r="J1154" i="5"/>
  <c r="K1154" i="5" s="1"/>
  <c r="J1153" i="5"/>
  <c r="J1152" i="5"/>
  <c r="K1152" i="5"/>
  <c r="J1151" i="5"/>
  <c r="J1150" i="5"/>
  <c r="K1150" i="5" s="1"/>
  <c r="J1149" i="5"/>
  <c r="K1149" i="5" s="1"/>
  <c r="J1148" i="5"/>
  <c r="J1147" i="5"/>
  <c r="K1147" i="5" s="1"/>
  <c r="J1146" i="5"/>
  <c r="J1145" i="5"/>
  <c r="K1145" i="5" s="1"/>
  <c r="J1144" i="5"/>
  <c r="K1143" i="5"/>
  <c r="J1143" i="5"/>
  <c r="J1142" i="5"/>
  <c r="K1142" i="5"/>
  <c r="K1141" i="5"/>
  <c r="J1141" i="5"/>
  <c r="J1140" i="5"/>
  <c r="J1139" i="5"/>
  <c r="K1139" i="5" s="1"/>
  <c r="J1138" i="5"/>
  <c r="K1138" i="5" s="1"/>
  <c r="J1137" i="5"/>
  <c r="K1137" i="5" s="1"/>
  <c r="J1136" i="5"/>
  <c r="K1136" i="5" s="1"/>
  <c r="J1135" i="5"/>
  <c r="K1135" i="5" s="1"/>
  <c r="J1134" i="5"/>
  <c r="K1134" i="5" s="1"/>
  <c r="J1133" i="5"/>
  <c r="K1133" i="5" s="1"/>
  <c r="J1132" i="5"/>
  <c r="K1132" i="5" s="1"/>
  <c r="J1131" i="5"/>
  <c r="K1131" i="5" s="1"/>
  <c r="J1130" i="5"/>
  <c r="K1130" i="5" s="1"/>
  <c r="J1129" i="5"/>
  <c r="K1128" i="5"/>
  <c r="J1128" i="5"/>
  <c r="J1127" i="5"/>
  <c r="J1126" i="5"/>
  <c r="K1126" i="5" s="1"/>
  <c r="J1125" i="5"/>
  <c r="K1125" i="5" s="1"/>
  <c r="J1124" i="5"/>
  <c r="K1124" i="5" s="1"/>
  <c r="J1123" i="5"/>
  <c r="K1123" i="5" s="1"/>
  <c r="J1122" i="5"/>
  <c r="K1122" i="5" s="1"/>
  <c r="J1121" i="5"/>
  <c r="K1121" i="5" s="1"/>
  <c r="J1120" i="5"/>
  <c r="K1120" i="5" s="1"/>
  <c r="J1119" i="5"/>
  <c r="K1119" i="5" s="1"/>
  <c r="J1118" i="5"/>
  <c r="K1118" i="5" s="1"/>
  <c r="J1117" i="5"/>
  <c r="K1117" i="5" s="1"/>
  <c r="J1116" i="5"/>
  <c r="K1115" i="5"/>
  <c r="J1115" i="5"/>
  <c r="J1114" i="5"/>
  <c r="K1114" i="5"/>
  <c r="K1113" i="5"/>
  <c r="J1113" i="5"/>
  <c r="J1112" i="5"/>
  <c r="K1112" i="5"/>
  <c r="K1111" i="5"/>
  <c r="J1111" i="5"/>
  <c r="J1110" i="5"/>
  <c r="K1110" i="5"/>
  <c r="K1109" i="5"/>
  <c r="J1109" i="5"/>
  <c r="J1108" i="5"/>
  <c r="K1108" i="5"/>
  <c r="K1107" i="5"/>
  <c r="J1107" i="5"/>
  <c r="J1106" i="5"/>
  <c r="K1106" i="5"/>
  <c r="K1105" i="5"/>
  <c r="J1105" i="5"/>
  <c r="J1104" i="5"/>
  <c r="K1104" i="5"/>
  <c r="K1103" i="5"/>
  <c r="J1103" i="5"/>
  <c r="J1102" i="5"/>
  <c r="J1101" i="5"/>
  <c r="K1101" i="5" s="1"/>
  <c r="J1100" i="5"/>
  <c r="J1099" i="5"/>
  <c r="K1099" i="5"/>
  <c r="J1098" i="5"/>
  <c r="J1097" i="5"/>
  <c r="K1097" i="5" s="1"/>
  <c r="J1096" i="5"/>
  <c r="K1095" i="5"/>
  <c r="J1095" i="5"/>
  <c r="J1094" i="5"/>
  <c r="K1094" i="5" s="1"/>
  <c r="K1093" i="5"/>
  <c r="J1093" i="5"/>
  <c r="J1092" i="5"/>
  <c r="K1092" i="5" s="1"/>
  <c r="G1091" i="5"/>
  <c r="J1091" i="5" s="1"/>
  <c r="K1091" i="5" s="1"/>
  <c r="J1090" i="5"/>
  <c r="K1090" i="5" s="1"/>
  <c r="J1089" i="5"/>
  <c r="J1088" i="5"/>
  <c r="K1088" i="5" s="1"/>
  <c r="J1087" i="5"/>
  <c r="J1086" i="5"/>
  <c r="K1086" i="5" s="1"/>
  <c r="J1085" i="5"/>
  <c r="K1084" i="5"/>
  <c r="J1084" i="5"/>
  <c r="J1083" i="5"/>
  <c r="J1082" i="5"/>
  <c r="K1082" i="5" s="1"/>
  <c r="J1081" i="5"/>
  <c r="J1080" i="5"/>
  <c r="K1080" i="5"/>
  <c r="K1079" i="5"/>
  <c r="J1079" i="5"/>
  <c r="J1078" i="5"/>
  <c r="K1078" i="5"/>
  <c r="K1077" i="5"/>
  <c r="J1077" i="5"/>
  <c r="J1076" i="5"/>
  <c r="J1075" i="5"/>
  <c r="K1075" i="5" s="1"/>
  <c r="J1074" i="5"/>
  <c r="J1073" i="5"/>
  <c r="K1073" i="5"/>
  <c r="J1072" i="5"/>
  <c r="J1071" i="5"/>
  <c r="K1071" i="5" s="1"/>
  <c r="J1070" i="5"/>
  <c r="K1069" i="5"/>
  <c r="J1069" i="5"/>
  <c r="J1068" i="5"/>
  <c r="J1067" i="5"/>
  <c r="K1067" i="5" s="1"/>
  <c r="J1066" i="5"/>
  <c r="K1066" i="5" s="1"/>
  <c r="J1065" i="5"/>
  <c r="K1065" i="5" s="1"/>
  <c r="J1064" i="5"/>
  <c r="K1064" i="5" s="1"/>
  <c r="J1063" i="5"/>
  <c r="K1063" i="5" s="1"/>
  <c r="J1062" i="5"/>
  <c r="J1061" i="5"/>
  <c r="K1061" i="5" s="1"/>
  <c r="J1060" i="5"/>
  <c r="J1059" i="5"/>
  <c r="K1059" i="5" s="1"/>
  <c r="J1058" i="5"/>
  <c r="K1058" i="5" s="1"/>
  <c r="J1057" i="5"/>
  <c r="K1057" i="5" s="1"/>
  <c r="J1056" i="5"/>
  <c r="K1056" i="5" s="1"/>
  <c r="J1055" i="5"/>
  <c r="K1055" i="5" s="1"/>
  <c r="J1054" i="5"/>
  <c r="K1054" i="5" s="1"/>
  <c r="J1053" i="5"/>
  <c r="K1053" i="5" s="1"/>
  <c r="J1052" i="5"/>
  <c r="K1052" i="5" s="1"/>
  <c r="J1051" i="5"/>
  <c r="K1051" i="5" s="1"/>
  <c r="J1050" i="5"/>
  <c r="K1050" i="5" s="1"/>
  <c r="J1049" i="5"/>
  <c r="K1049" i="5" s="1"/>
  <c r="J1048" i="5"/>
  <c r="K1048" i="5" s="1"/>
  <c r="J1047" i="5"/>
  <c r="K1047" i="5" s="1"/>
  <c r="J1046" i="5"/>
  <c r="K1046" i="5" s="1"/>
  <c r="J1045" i="5"/>
  <c r="J1044" i="5"/>
  <c r="K1044" i="5"/>
  <c r="J1043" i="5"/>
  <c r="J1042" i="5"/>
  <c r="K1042" i="5" s="1"/>
  <c r="J1041" i="5"/>
  <c r="K1040" i="5"/>
  <c r="J1040" i="5"/>
  <c r="J1039" i="5"/>
  <c r="K1039" i="5" s="1"/>
  <c r="K1038" i="5"/>
  <c r="J1038" i="5"/>
  <c r="J1037" i="5"/>
  <c r="K1037" i="5" s="1"/>
  <c r="K1036" i="5"/>
  <c r="J1036" i="5"/>
  <c r="J1035" i="5"/>
  <c r="K1035" i="5" s="1"/>
  <c r="K1034" i="5"/>
  <c r="J1034" i="5"/>
  <c r="J1033" i="5"/>
  <c r="K1033" i="5" s="1"/>
  <c r="K1032" i="5"/>
  <c r="J1032" i="5"/>
  <c r="J1031" i="5"/>
  <c r="K1031" i="5" s="1"/>
  <c r="K1030" i="5"/>
  <c r="J1030" i="5"/>
  <c r="J1029" i="5"/>
  <c r="K1029" i="5" s="1"/>
  <c r="K1028" i="5"/>
  <c r="J1028" i="5"/>
  <c r="J1027" i="5"/>
  <c r="K1027" i="5" s="1"/>
  <c r="K1026" i="5"/>
  <c r="J1026" i="5"/>
  <c r="J1025" i="5"/>
  <c r="K1025" i="5" s="1"/>
  <c r="K1024" i="5"/>
  <c r="J1024" i="5"/>
  <c r="J1023" i="5"/>
  <c r="K1023" i="5" s="1"/>
  <c r="K1022" i="5"/>
  <c r="J1022" i="5"/>
  <c r="J1021" i="5"/>
  <c r="K1021" i="5" s="1"/>
  <c r="K1020" i="5"/>
  <c r="J1020" i="5"/>
  <c r="J1019" i="5"/>
  <c r="K1019" i="5" s="1"/>
  <c r="K1018" i="5"/>
  <c r="J1018" i="5"/>
  <c r="J1017" i="5"/>
  <c r="K1017" i="5" s="1"/>
  <c r="K1016" i="5"/>
  <c r="J1016" i="5"/>
  <c r="J1015" i="5"/>
  <c r="K1015" i="5" s="1"/>
  <c r="K1014" i="5"/>
  <c r="J1014" i="5"/>
  <c r="J1013" i="5"/>
  <c r="K1013" i="5" s="1"/>
  <c r="K1012" i="5"/>
  <c r="J1012" i="5"/>
  <c r="J1011" i="5"/>
  <c r="K1011" i="5" s="1"/>
  <c r="K1010" i="5"/>
  <c r="J1010" i="5"/>
  <c r="J1009" i="5"/>
  <c r="K1009" i="5" s="1"/>
  <c r="K1008" i="5"/>
  <c r="J1008" i="5"/>
  <c r="J1007" i="5"/>
  <c r="K1007" i="5" s="1"/>
  <c r="K1006" i="5"/>
  <c r="J1006" i="5"/>
  <c r="J1005" i="5"/>
  <c r="K1005" i="5" s="1"/>
  <c r="K1004" i="5"/>
  <c r="J1004" i="5"/>
  <c r="J1003" i="5"/>
  <c r="K1003" i="5" s="1"/>
  <c r="K1002" i="5"/>
  <c r="J1002" i="5"/>
  <c r="J1001" i="5"/>
  <c r="K1001" i="5" s="1"/>
  <c r="K1000" i="5"/>
  <c r="J1000" i="5"/>
  <c r="J999" i="5"/>
  <c r="K999" i="5" s="1"/>
  <c r="K998" i="5"/>
  <c r="J998" i="5"/>
  <c r="J997" i="5"/>
  <c r="K997" i="5" s="1"/>
  <c r="K996" i="5"/>
  <c r="J996" i="5"/>
  <c r="J995" i="5"/>
  <c r="K995" i="5" s="1"/>
  <c r="K994" i="5"/>
  <c r="J994" i="5"/>
  <c r="J993" i="5"/>
  <c r="K993" i="5" s="1"/>
  <c r="K992" i="5"/>
  <c r="J992" i="5"/>
  <c r="J991" i="5"/>
  <c r="K991" i="5" s="1"/>
  <c r="K990" i="5"/>
  <c r="G990" i="5"/>
  <c r="J990" i="5" s="1"/>
  <c r="J989" i="5"/>
  <c r="K989" i="5" s="1"/>
  <c r="J988" i="5"/>
  <c r="K988" i="5" s="1"/>
  <c r="J987" i="5"/>
  <c r="K987" i="5"/>
  <c r="J986" i="5"/>
  <c r="K986" i="5" s="1"/>
  <c r="J985" i="5"/>
  <c r="K985" i="5" s="1"/>
  <c r="J984" i="5"/>
  <c r="K984" i="5" s="1"/>
  <c r="J983" i="5"/>
  <c r="K983" i="5"/>
  <c r="J982" i="5"/>
  <c r="K982" i="5" s="1"/>
  <c r="J981" i="5"/>
  <c r="K981" i="5" s="1"/>
  <c r="J980" i="5"/>
  <c r="K980" i="5" s="1"/>
  <c r="J979" i="5"/>
  <c r="K979" i="5"/>
  <c r="J978" i="5"/>
  <c r="K978" i="5" s="1"/>
  <c r="J977" i="5"/>
  <c r="K977" i="5" s="1"/>
  <c r="J976" i="5"/>
  <c r="K976" i="5" s="1"/>
  <c r="J975" i="5"/>
  <c r="K975" i="5"/>
  <c r="J974" i="5"/>
  <c r="K974" i="5" s="1"/>
  <c r="J973" i="5"/>
  <c r="K973" i="5" s="1"/>
  <c r="K972" i="5"/>
  <c r="J972" i="5"/>
  <c r="J971" i="5"/>
  <c r="K971" i="5" s="1"/>
  <c r="K970" i="5"/>
  <c r="J970" i="5"/>
  <c r="J969" i="5"/>
  <c r="K969" i="5" s="1"/>
  <c r="K968" i="5"/>
  <c r="J968" i="5"/>
  <c r="J967" i="5"/>
  <c r="K967" i="5" s="1"/>
  <c r="K966" i="5"/>
  <c r="J966" i="5"/>
  <c r="J965" i="5"/>
  <c r="K965" i="5" s="1"/>
  <c r="K964" i="5"/>
  <c r="J964" i="5"/>
  <c r="J963" i="5"/>
  <c r="K963" i="5" s="1"/>
  <c r="K962" i="5"/>
  <c r="J962" i="5"/>
  <c r="J961" i="5"/>
  <c r="K961" i="5" s="1"/>
  <c r="K960" i="5"/>
  <c r="J960" i="5"/>
  <c r="J959" i="5"/>
  <c r="K959" i="5" s="1"/>
  <c r="K958" i="5"/>
  <c r="J958" i="5"/>
  <c r="J957" i="5"/>
  <c r="K957" i="5" s="1"/>
  <c r="K956" i="5"/>
  <c r="J956" i="5"/>
  <c r="J955" i="5"/>
  <c r="K955" i="5" s="1"/>
  <c r="K954" i="5"/>
  <c r="J954" i="5"/>
  <c r="J953" i="5"/>
  <c r="K953" i="5" s="1"/>
  <c r="K952" i="5"/>
  <c r="J952" i="5"/>
  <c r="J951" i="5"/>
  <c r="K951" i="5" s="1"/>
  <c r="K950" i="5"/>
  <c r="J950" i="5"/>
  <c r="J949" i="5"/>
  <c r="K949" i="5" s="1"/>
  <c r="K948" i="5"/>
  <c r="J948" i="5"/>
  <c r="J947" i="5"/>
  <c r="K947" i="5" s="1"/>
  <c r="K946" i="5"/>
  <c r="J946" i="5"/>
  <c r="J945" i="5"/>
  <c r="K945" i="5" s="1"/>
  <c r="K944" i="5"/>
  <c r="J944" i="5"/>
  <c r="J943" i="5"/>
  <c r="K943" i="5" s="1"/>
  <c r="K942" i="5"/>
  <c r="G942" i="5"/>
  <c r="J942" i="5"/>
  <c r="J941" i="5"/>
  <c r="K940" i="5"/>
  <c r="J940" i="5"/>
  <c r="J939" i="5"/>
  <c r="J938" i="5"/>
  <c r="K938" i="5"/>
  <c r="J937" i="5"/>
  <c r="K937" i="5"/>
  <c r="J936" i="5"/>
  <c r="K936" i="5"/>
  <c r="J935" i="5"/>
  <c r="K935" i="5"/>
  <c r="J934" i="5"/>
  <c r="K933" i="5"/>
  <c r="J933" i="5"/>
  <c r="J932" i="5"/>
  <c r="J931" i="5"/>
  <c r="K931" i="5"/>
  <c r="J930" i="5"/>
  <c r="J929" i="5"/>
  <c r="K929" i="5" s="1"/>
  <c r="J928" i="5"/>
  <c r="J927" i="5"/>
  <c r="K927" i="5"/>
  <c r="J926" i="5"/>
  <c r="K925" i="5"/>
  <c r="J925" i="5"/>
  <c r="J924" i="5"/>
  <c r="K924" i="5" s="1"/>
  <c r="J923" i="5"/>
  <c r="J922" i="5"/>
  <c r="K922" i="5"/>
  <c r="J921" i="5"/>
  <c r="K920" i="5"/>
  <c r="J920" i="5"/>
  <c r="J919" i="5"/>
  <c r="J918" i="5"/>
  <c r="K918" i="5" s="1"/>
  <c r="J917" i="5"/>
  <c r="K917" i="5"/>
  <c r="J916" i="5"/>
  <c r="K916" i="5" s="1"/>
  <c r="J915" i="5"/>
  <c r="K915" i="5"/>
  <c r="J914" i="5"/>
  <c r="K914" i="5" s="1"/>
  <c r="J913" i="5"/>
  <c r="J912" i="5"/>
  <c r="K912" i="5" s="1"/>
  <c r="K911" i="5"/>
  <c r="J911" i="5"/>
  <c r="J910" i="5"/>
  <c r="K910" i="5" s="1"/>
  <c r="K909" i="5"/>
  <c r="J909" i="5"/>
  <c r="J908" i="5"/>
  <c r="K908" i="5" s="1"/>
  <c r="K907" i="5"/>
  <c r="J907" i="5"/>
  <c r="J906" i="5"/>
  <c r="K906" i="5" s="1"/>
  <c r="K905" i="5"/>
  <c r="J905" i="5"/>
  <c r="J904" i="5"/>
  <c r="K904" i="5" s="1"/>
  <c r="K903" i="5"/>
  <c r="J903" i="5"/>
  <c r="J902" i="5"/>
  <c r="K902" i="5" s="1"/>
  <c r="K901" i="5"/>
  <c r="J901" i="5"/>
  <c r="J900" i="5"/>
  <c r="K900" i="5" s="1"/>
  <c r="K899" i="5"/>
  <c r="J899" i="5"/>
  <c r="J898" i="5"/>
  <c r="K898" i="5" s="1"/>
  <c r="K897" i="5"/>
  <c r="J897" i="5"/>
  <c r="J896" i="5"/>
  <c r="K896" i="5" s="1"/>
  <c r="K895" i="5"/>
  <c r="J895" i="5"/>
  <c r="J894" i="5"/>
  <c r="K894" i="5" s="1"/>
  <c r="K893" i="5"/>
  <c r="J893" i="5"/>
  <c r="J892" i="5"/>
  <c r="K892" i="5" s="1"/>
  <c r="K891" i="5"/>
  <c r="J891" i="5"/>
  <c r="J890" i="5"/>
  <c r="K890" i="5" s="1"/>
  <c r="K889" i="5"/>
  <c r="J889" i="5"/>
  <c r="J888" i="5"/>
  <c r="K888" i="5" s="1"/>
  <c r="K887" i="5"/>
  <c r="J887" i="5"/>
  <c r="J886" i="5"/>
  <c r="K886" i="5" s="1"/>
  <c r="K885" i="5"/>
  <c r="J885" i="5"/>
  <c r="J884" i="5"/>
  <c r="K884" i="5" s="1"/>
  <c r="K883" i="5"/>
  <c r="J883" i="5"/>
  <c r="J882" i="5"/>
  <c r="K882" i="5" s="1"/>
  <c r="K881" i="5"/>
  <c r="J881" i="5"/>
  <c r="J880" i="5"/>
  <c r="K880" i="5" s="1"/>
  <c r="K879" i="5"/>
  <c r="J879" i="5"/>
  <c r="J878" i="5"/>
  <c r="K878" i="5" s="1"/>
  <c r="K877" i="5"/>
  <c r="J877" i="5"/>
  <c r="J876" i="5"/>
  <c r="K876" i="5" s="1"/>
  <c r="K875" i="5"/>
  <c r="J875" i="5"/>
  <c r="J874" i="5"/>
  <c r="K874" i="5" s="1"/>
  <c r="K873" i="5"/>
  <c r="J873" i="5"/>
  <c r="J872" i="5"/>
  <c r="K872" i="5" s="1"/>
  <c r="K871" i="5"/>
  <c r="J871" i="5"/>
  <c r="J870" i="5"/>
  <c r="K870" i="5" s="1"/>
  <c r="K869" i="5"/>
  <c r="J869" i="5"/>
  <c r="J868" i="5"/>
  <c r="K868" i="5" s="1"/>
  <c r="K867" i="5"/>
  <c r="J867" i="5"/>
  <c r="J866" i="5"/>
  <c r="K866" i="5" s="1"/>
  <c r="K865" i="5"/>
  <c r="G865" i="5"/>
  <c r="J865" i="5"/>
  <c r="J864" i="5"/>
  <c r="K864" i="5" s="1"/>
  <c r="J863" i="5"/>
  <c r="J862" i="5"/>
  <c r="K862" i="5" s="1"/>
  <c r="K861" i="5"/>
  <c r="J861" i="5"/>
  <c r="J860" i="5"/>
  <c r="K860" i="5" s="1"/>
  <c r="J859" i="5"/>
  <c r="J858" i="5"/>
  <c r="K858" i="5"/>
  <c r="J857" i="5"/>
  <c r="K857" i="5"/>
  <c r="J856" i="5"/>
  <c r="K856" i="5"/>
  <c r="J855" i="5"/>
  <c r="K855" i="5"/>
  <c r="J854" i="5"/>
  <c r="J853" i="5"/>
  <c r="K853" i="5" s="1"/>
  <c r="K852" i="5"/>
  <c r="J852" i="5"/>
  <c r="J851" i="5"/>
  <c r="K851" i="5" s="1"/>
  <c r="J850" i="5"/>
  <c r="J849" i="5"/>
  <c r="K849" i="5"/>
  <c r="J848" i="5"/>
  <c r="K848" i="5" s="1"/>
  <c r="J847" i="5"/>
  <c r="J846" i="5"/>
  <c r="K846" i="5" s="1"/>
  <c r="K845" i="5"/>
  <c r="J845" i="5"/>
  <c r="J844" i="5"/>
  <c r="K844" i="5" s="1"/>
  <c r="J843" i="5"/>
  <c r="J842" i="5"/>
  <c r="K842" i="5"/>
  <c r="J841" i="5"/>
  <c r="K840" i="5"/>
  <c r="J840" i="5"/>
  <c r="J839" i="5"/>
  <c r="K839" i="5" s="1"/>
  <c r="K838" i="5"/>
  <c r="J838" i="5"/>
  <c r="J837" i="5"/>
  <c r="K837" i="5" s="1"/>
  <c r="K836" i="5"/>
  <c r="J836" i="5"/>
  <c r="J835" i="5"/>
  <c r="K835" i="5" s="1"/>
  <c r="K834" i="5"/>
  <c r="J834" i="5"/>
  <c r="J833" i="5"/>
  <c r="K833" i="5" s="1"/>
  <c r="K832" i="5"/>
  <c r="J832" i="5"/>
  <c r="J831" i="5"/>
  <c r="K831" i="5" s="1"/>
  <c r="K830" i="5"/>
  <c r="J830" i="5"/>
  <c r="J829" i="5"/>
  <c r="K829" i="5" s="1"/>
  <c r="K828" i="5"/>
  <c r="J828" i="5"/>
  <c r="J827" i="5"/>
  <c r="K827" i="5" s="1"/>
  <c r="K826" i="5"/>
  <c r="J826" i="5"/>
  <c r="J825" i="5"/>
  <c r="K825" i="5" s="1"/>
  <c r="K824" i="5"/>
  <c r="J824" i="5"/>
  <c r="J823" i="5"/>
  <c r="K823" i="5" s="1"/>
  <c r="K822" i="5"/>
  <c r="J822" i="5"/>
  <c r="J821" i="5"/>
  <c r="K821" i="5" s="1"/>
  <c r="K820" i="5"/>
  <c r="J820" i="5"/>
  <c r="J819" i="5"/>
  <c r="K819" i="5" s="1"/>
  <c r="K818" i="5"/>
  <c r="J818" i="5"/>
  <c r="J817" i="5"/>
  <c r="K817" i="5" s="1"/>
  <c r="K816" i="5"/>
  <c r="J816" i="5"/>
  <c r="J815" i="5"/>
  <c r="J814" i="5"/>
  <c r="K814" i="5"/>
  <c r="J813" i="5"/>
  <c r="K813" i="5"/>
  <c r="J812" i="5"/>
  <c r="K812" i="5"/>
  <c r="J811" i="5"/>
  <c r="J810" i="5"/>
  <c r="K810" i="5" s="1"/>
  <c r="K809" i="5"/>
  <c r="J809" i="5"/>
  <c r="J808" i="5"/>
  <c r="K808" i="5" s="1"/>
  <c r="J807" i="5"/>
  <c r="J806" i="5"/>
  <c r="K806" i="5"/>
  <c r="J805" i="5"/>
  <c r="K805" i="5" s="1"/>
  <c r="J804" i="5"/>
  <c r="J803" i="5"/>
  <c r="K803" i="5" s="1"/>
  <c r="G802" i="5"/>
  <c r="J802" i="5" s="1"/>
  <c r="K802" i="5" s="1"/>
  <c r="J801" i="5"/>
  <c r="K801" i="5"/>
  <c r="G801" i="5"/>
  <c r="J800" i="5"/>
  <c r="K800" i="5" s="1"/>
  <c r="K799" i="5"/>
  <c r="G799" i="5"/>
  <c r="J799" i="5"/>
  <c r="J798" i="5"/>
  <c r="K798" i="5" s="1"/>
  <c r="J797" i="5"/>
  <c r="K797" i="5"/>
  <c r="J796" i="5"/>
  <c r="K796" i="5" s="1"/>
  <c r="J795" i="5"/>
  <c r="K795" i="5"/>
  <c r="J794" i="5"/>
  <c r="K793" i="5"/>
  <c r="J793" i="5"/>
  <c r="J792" i="5"/>
  <c r="K792" i="5" s="1"/>
  <c r="J791" i="5"/>
  <c r="J790" i="5"/>
  <c r="K790" i="5"/>
  <c r="J789" i="5"/>
  <c r="K788" i="5"/>
  <c r="J788" i="5"/>
  <c r="J787" i="5"/>
  <c r="K787" i="5" s="1"/>
  <c r="K786" i="5"/>
  <c r="J786" i="5"/>
  <c r="J785" i="5"/>
  <c r="J784" i="5"/>
  <c r="K784" i="5"/>
  <c r="J783" i="5"/>
  <c r="K783" i="5"/>
  <c r="J782" i="5"/>
  <c r="K782" i="5"/>
  <c r="J781" i="5"/>
  <c r="K781" i="5"/>
  <c r="J780" i="5"/>
  <c r="K780" i="5"/>
  <c r="J779" i="5"/>
  <c r="K779" i="5"/>
  <c r="J778" i="5"/>
  <c r="K778" i="5"/>
  <c r="J777" i="5"/>
  <c r="K777" i="5"/>
  <c r="J776" i="5"/>
  <c r="K776" i="5"/>
  <c r="J775" i="5"/>
  <c r="K775" i="5"/>
  <c r="J774" i="5"/>
  <c r="K774" i="5"/>
  <c r="J773" i="5"/>
  <c r="K773" i="5"/>
  <c r="J772" i="5"/>
  <c r="K771" i="5"/>
  <c r="J771" i="5"/>
  <c r="J770" i="5"/>
  <c r="K770" i="5" s="1"/>
  <c r="J769" i="5"/>
  <c r="J768" i="5"/>
  <c r="K768" i="5"/>
  <c r="J767" i="5"/>
  <c r="K767" i="5"/>
  <c r="J766" i="5"/>
  <c r="K766" i="5"/>
  <c r="J765" i="5"/>
  <c r="K765" i="5"/>
  <c r="J764" i="5"/>
  <c r="K764" i="5"/>
  <c r="J763" i="5"/>
  <c r="K763" i="5"/>
  <c r="J762" i="5"/>
  <c r="K762" i="5"/>
  <c r="J761" i="5"/>
  <c r="K761" i="5"/>
  <c r="J760" i="5"/>
  <c r="K760" i="5"/>
  <c r="J759" i="5"/>
  <c r="K759" i="5"/>
  <c r="J758" i="5"/>
  <c r="K758" i="5"/>
  <c r="J757" i="5"/>
  <c r="K757" i="5"/>
  <c r="J756" i="5"/>
  <c r="K756" i="5"/>
  <c r="J755" i="5"/>
  <c r="K755" i="5"/>
  <c r="J754" i="5"/>
  <c r="K754" i="5"/>
  <c r="J753" i="5"/>
  <c r="K753" i="5"/>
  <c r="J752" i="5"/>
  <c r="K752" i="5"/>
  <c r="J751" i="5"/>
  <c r="K750" i="5"/>
  <c r="J750" i="5"/>
  <c r="J749" i="5"/>
  <c r="J748" i="5"/>
  <c r="K748" i="5"/>
  <c r="J747" i="5"/>
  <c r="J746" i="5"/>
  <c r="K746" i="5" s="1"/>
  <c r="K745" i="5"/>
  <c r="J745" i="5"/>
  <c r="J744" i="5"/>
  <c r="K744" i="5" s="1"/>
  <c r="K743" i="5"/>
  <c r="J743" i="5"/>
  <c r="J742" i="5"/>
  <c r="K742" i="5" s="1"/>
  <c r="K741" i="5"/>
  <c r="J741" i="5"/>
  <c r="J740" i="5"/>
  <c r="K740" i="5" s="1"/>
  <c r="K739" i="5"/>
  <c r="J739" i="5"/>
  <c r="J738" i="5"/>
  <c r="K738" i="5" s="1"/>
  <c r="K737" i="5"/>
  <c r="J737" i="5"/>
  <c r="J736" i="5"/>
  <c r="K736" i="5" s="1"/>
  <c r="K735" i="5"/>
  <c r="J735" i="5"/>
  <c r="J734" i="5"/>
  <c r="K734" i="5" s="1"/>
  <c r="K733" i="5"/>
  <c r="J733" i="5"/>
  <c r="J732" i="5"/>
  <c r="K732" i="5" s="1"/>
  <c r="K731" i="5"/>
  <c r="J731" i="5"/>
  <c r="J730" i="5"/>
  <c r="K730" i="5" s="1"/>
  <c r="K729" i="5"/>
  <c r="J729" i="5"/>
  <c r="J728" i="5"/>
  <c r="K728" i="5" s="1"/>
  <c r="K727" i="5"/>
  <c r="J727" i="5"/>
  <c r="J726" i="5"/>
  <c r="K726" i="5" s="1"/>
  <c r="K725" i="5"/>
  <c r="J725" i="5"/>
  <c r="J724" i="5"/>
  <c r="K724" i="5" s="1"/>
  <c r="K723" i="5"/>
  <c r="J723" i="5"/>
  <c r="J722" i="5"/>
  <c r="K722" i="5" s="1"/>
  <c r="K721" i="5"/>
  <c r="J721" i="5"/>
  <c r="J720" i="5"/>
  <c r="K720" i="5" s="1"/>
  <c r="K719" i="5"/>
  <c r="J719" i="5"/>
  <c r="G718" i="5"/>
  <c r="J718" i="5"/>
  <c r="K718" i="5" s="1"/>
  <c r="J717" i="5"/>
  <c r="J716" i="5"/>
  <c r="K716" i="5" s="1"/>
  <c r="J715" i="5"/>
  <c r="J714" i="5"/>
  <c r="K714" i="5"/>
  <c r="J713" i="5"/>
  <c r="K713" i="5"/>
  <c r="J712" i="5"/>
  <c r="K712" i="5"/>
  <c r="J711" i="5"/>
  <c r="K711" i="5"/>
  <c r="J710" i="5"/>
  <c r="K710" i="5"/>
  <c r="J709" i="5"/>
  <c r="K709" i="5"/>
  <c r="J708" i="5"/>
  <c r="K708" i="5"/>
  <c r="J707" i="5"/>
  <c r="K707" i="5"/>
  <c r="J706" i="5"/>
  <c r="K706" i="5"/>
  <c r="J705" i="5"/>
  <c r="K705" i="5"/>
  <c r="J704" i="5"/>
  <c r="K704" i="5"/>
  <c r="J703" i="5"/>
  <c r="K703" i="5"/>
  <c r="J702" i="5"/>
  <c r="K702" i="5"/>
  <c r="J701" i="5"/>
  <c r="K701" i="5"/>
  <c r="J700" i="5"/>
  <c r="K700" i="5"/>
  <c r="J699" i="5"/>
  <c r="K699" i="5"/>
  <c r="J698" i="5"/>
  <c r="K698" i="5"/>
  <c r="J697" i="5"/>
  <c r="K697" i="5"/>
  <c r="J696" i="5"/>
  <c r="K696" i="5"/>
  <c r="J695" i="5"/>
  <c r="K695" i="5"/>
  <c r="J694" i="5"/>
  <c r="K694" i="5"/>
  <c r="J693" i="5"/>
  <c r="K693" i="5"/>
  <c r="J692" i="5"/>
  <c r="K692" i="5"/>
  <c r="J691" i="5"/>
  <c r="K691" i="5"/>
  <c r="J690" i="5"/>
  <c r="K690" i="5"/>
  <c r="J689" i="5"/>
  <c r="K689" i="5"/>
  <c r="J688" i="5"/>
  <c r="K688" i="5"/>
  <c r="J687" i="5"/>
  <c r="K687" i="5"/>
  <c r="J686" i="5"/>
  <c r="K686" i="5"/>
  <c r="J685" i="5"/>
  <c r="K685" i="5"/>
  <c r="J684" i="5"/>
  <c r="K684" i="5"/>
  <c r="J683" i="5"/>
  <c r="K683" i="5"/>
  <c r="J682" i="5"/>
  <c r="K682" i="5"/>
  <c r="J681" i="5"/>
  <c r="K681" i="5"/>
  <c r="J680" i="5"/>
  <c r="K680" i="5"/>
  <c r="J679" i="5"/>
  <c r="K679" i="5"/>
  <c r="J678" i="5"/>
  <c r="K678" i="5"/>
  <c r="J677" i="5"/>
  <c r="K677" i="5"/>
  <c r="J676" i="5"/>
  <c r="K676" i="5"/>
  <c r="J675" i="5"/>
  <c r="K675" i="5"/>
  <c r="J674" i="5"/>
  <c r="K674" i="5"/>
  <c r="J673" i="5"/>
  <c r="K673" i="5"/>
  <c r="J672" i="5"/>
  <c r="K672" i="5"/>
  <c r="J671" i="5"/>
  <c r="K671" i="5"/>
  <c r="J670" i="5"/>
  <c r="K670" i="5"/>
  <c r="J669" i="5"/>
  <c r="K669" i="5"/>
  <c r="J668" i="5"/>
  <c r="K668" i="5"/>
  <c r="J667" i="5"/>
  <c r="K667" i="5"/>
  <c r="J666" i="5"/>
  <c r="K666" i="5"/>
  <c r="J665" i="5"/>
  <c r="K665" i="5"/>
  <c r="J664" i="5"/>
  <c r="K664" i="5"/>
  <c r="J663" i="5"/>
  <c r="K663" i="5"/>
  <c r="J662" i="5"/>
  <c r="K662" i="5"/>
  <c r="J661" i="5"/>
  <c r="K661" i="5"/>
  <c r="J660" i="5"/>
  <c r="K660" i="5"/>
  <c r="J659" i="5"/>
  <c r="K659" i="5"/>
  <c r="J658" i="5"/>
  <c r="J657" i="5"/>
  <c r="K657" i="5" s="1"/>
  <c r="J656" i="5"/>
  <c r="J655" i="5"/>
  <c r="K655" i="5"/>
  <c r="J654" i="5"/>
  <c r="K654" i="5" s="1"/>
  <c r="J653" i="5"/>
  <c r="J652" i="5"/>
  <c r="K652" i="5" s="1"/>
  <c r="K651" i="5"/>
  <c r="J651" i="5"/>
  <c r="J650" i="5"/>
  <c r="K650" i="5" s="1"/>
  <c r="J649" i="5"/>
  <c r="J648" i="5"/>
  <c r="K648" i="5"/>
  <c r="J647" i="5"/>
  <c r="K646" i="5"/>
  <c r="J646" i="5"/>
  <c r="J645" i="5"/>
  <c r="K645" i="5" s="1"/>
  <c r="J644" i="5"/>
  <c r="J643" i="5"/>
  <c r="K643" i="5"/>
  <c r="J642" i="5"/>
  <c r="K642" i="5"/>
  <c r="J641" i="5"/>
  <c r="K641" i="5"/>
  <c r="J640" i="5"/>
  <c r="K639" i="5"/>
  <c r="J639" i="5"/>
  <c r="J638" i="5"/>
  <c r="K638" i="5" s="1"/>
  <c r="K637" i="5"/>
  <c r="J637" i="5"/>
  <c r="J636" i="5"/>
  <c r="K636" i="5" s="1"/>
  <c r="J635" i="5"/>
  <c r="J634" i="5"/>
  <c r="K634" i="5"/>
  <c r="J633" i="5"/>
  <c r="K633" i="5" s="1"/>
  <c r="J632" i="5"/>
  <c r="K632" i="5"/>
  <c r="J631" i="5"/>
  <c r="K631" i="5" s="1"/>
  <c r="J630" i="5"/>
  <c r="K630" i="5"/>
  <c r="J629" i="5"/>
  <c r="K629" i="5" s="1"/>
  <c r="J628" i="5"/>
  <c r="K628" i="5"/>
  <c r="J627" i="5"/>
  <c r="K627" i="5" s="1"/>
  <c r="J626" i="5"/>
  <c r="K626" i="5"/>
  <c r="J625" i="5"/>
  <c r="K625" i="5" s="1"/>
  <c r="J624" i="5"/>
  <c r="J623" i="5"/>
  <c r="K623" i="5" s="1"/>
  <c r="J622" i="5"/>
  <c r="J621" i="5"/>
  <c r="K621" i="5"/>
  <c r="J620" i="5"/>
  <c r="J619" i="5"/>
  <c r="K619" i="5" s="1"/>
  <c r="K618" i="5"/>
  <c r="J618" i="5"/>
  <c r="J617" i="5"/>
  <c r="J616" i="5"/>
  <c r="K616" i="5" s="1"/>
  <c r="J615" i="5"/>
  <c r="J614" i="5"/>
  <c r="K614" i="5" s="1"/>
  <c r="J613" i="5"/>
  <c r="K612" i="5"/>
  <c r="J612" i="5"/>
  <c r="J611" i="5"/>
  <c r="J610" i="5"/>
  <c r="K610" i="5" s="1"/>
  <c r="J609" i="5"/>
  <c r="J608" i="5"/>
  <c r="K608" i="5" s="1"/>
  <c r="J607" i="5"/>
  <c r="J606" i="5"/>
  <c r="K606" i="5" s="1"/>
  <c r="K605" i="5"/>
  <c r="J605" i="5"/>
  <c r="J604" i="5"/>
  <c r="J603" i="5"/>
  <c r="K603" i="5" s="1"/>
  <c r="K602" i="5"/>
  <c r="J602" i="5"/>
  <c r="J601" i="5"/>
  <c r="K601" i="5" s="1"/>
  <c r="K600" i="5"/>
  <c r="J600" i="5"/>
  <c r="J599" i="5"/>
  <c r="K599" i="5" s="1"/>
  <c r="J598" i="5"/>
  <c r="K598" i="5" s="1"/>
  <c r="J597" i="5"/>
  <c r="K597" i="5" s="1"/>
  <c r="J596" i="5"/>
  <c r="K596" i="5" s="1"/>
  <c r="J595" i="5"/>
  <c r="K595" i="5" s="1"/>
  <c r="K594" i="5"/>
  <c r="J594" i="5"/>
  <c r="J593" i="5"/>
  <c r="K593" i="5" s="1"/>
  <c r="K592" i="5"/>
  <c r="J592" i="5"/>
  <c r="J591" i="5"/>
  <c r="K591" i="5" s="1"/>
  <c r="J590" i="5"/>
  <c r="K590" i="5" s="1"/>
  <c r="J589" i="5"/>
  <c r="K589" i="5" s="1"/>
  <c r="J588" i="5"/>
  <c r="K588" i="5" s="1"/>
  <c r="J587" i="5"/>
  <c r="K587" i="5" s="1"/>
  <c r="G586" i="5"/>
  <c r="J586" i="5" s="1"/>
  <c r="K586" i="5" s="1"/>
  <c r="J585" i="5"/>
  <c r="K584" i="5"/>
  <c r="J584" i="5"/>
  <c r="J583" i="5"/>
  <c r="K582" i="5"/>
  <c r="J582" i="5"/>
  <c r="J581" i="5"/>
  <c r="K581" i="5" s="1"/>
  <c r="J580" i="5"/>
  <c r="K580" i="5" s="1"/>
  <c r="J579" i="5"/>
  <c r="K579" i="5" s="1"/>
  <c r="K578" i="5"/>
  <c r="J578" i="5"/>
  <c r="J577" i="5"/>
  <c r="K577" i="5" s="1"/>
  <c r="K576" i="5"/>
  <c r="J576" i="5"/>
  <c r="J575" i="5"/>
  <c r="K575" i="5" s="1"/>
  <c r="J574" i="5"/>
  <c r="K574" i="5" s="1"/>
  <c r="J573" i="5"/>
  <c r="K573" i="5" s="1"/>
  <c r="J572" i="5"/>
  <c r="K572" i="5" s="1"/>
  <c r="J571" i="5"/>
  <c r="K571" i="5" s="1"/>
  <c r="K570" i="5"/>
  <c r="J570" i="5"/>
  <c r="J569" i="5"/>
  <c r="K569" i="5" s="1"/>
  <c r="K568" i="5"/>
  <c r="J568" i="5"/>
  <c r="J567" i="5"/>
  <c r="K567" i="5" s="1"/>
  <c r="J566" i="5"/>
  <c r="K565" i="5"/>
  <c r="J565" i="5"/>
  <c r="J564" i="5"/>
  <c r="J563" i="5"/>
  <c r="K563" i="5" s="1"/>
  <c r="J562" i="5"/>
  <c r="J561" i="5"/>
  <c r="K561" i="5" s="1"/>
  <c r="J560" i="5"/>
  <c r="J559" i="5"/>
  <c r="K559" i="5" s="1"/>
  <c r="J558" i="5"/>
  <c r="J557" i="5"/>
  <c r="K557" i="5" s="1"/>
  <c r="J556" i="5"/>
  <c r="K555" i="5"/>
  <c r="J555" i="5"/>
  <c r="J554" i="5"/>
  <c r="K554" i="5" s="1"/>
  <c r="J553" i="5"/>
  <c r="K552" i="5"/>
  <c r="J552" i="5"/>
  <c r="J551" i="5"/>
  <c r="K551" i="5" s="1"/>
  <c r="K550" i="5"/>
  <c r="J550" i="5"/>
  <c r="J549" i="5"/>
  <c r="K549" i="5" s="1"/>
  <c r="K548" i="5"/>
  <c r="J548" i="5"/>
  <c r="J547" i="5"/>
  <c r="K547" i="5" s="1"/>
  <c r="J546" i="5"/>
  <c r="K546" i="5" s="1"/>
  <c r="J545" i="5"/>
  <c r="K545" i="5" s="1"/>
  <c r="G545" i="5"/>
  <c r="J544" i="5"/>
  <c r="K544" i="5" s="1"/>
  <c r="J543" i="5"/>
  <c r="K542" i="5"/>
  <c r="J542" i="5"/>
  <c r="J541" i="5"/>
  <c r="K540" i="5"/>
  <c r="J540" i="5"/>
  <c r="J539" i="5"/>
  <c r="J538" i="5"/>
  <c r="K538" i="5" s="1"/>
  <c r="J537" i="5"/>
  <c r="J536" i="5"/>
  <c r="K536" i="5" s="1"/>
  <c r="J535" i="5"/>
  <c r="J534" i="5"/>
  <c r="K534" i="5" s="1"/>
  <c r="J533" i="5"/>
  <c r="K533" i="5" s="1"/>
  <c r="K532" i="5"/>
  <c r="J532" i="5"/>
  <c r="J531" i="5"/>
  <c r="K531" i="5" s="1"/>
  <c r="J530" i="5"/>
  <c r="J529" i="5"/>
  <c r="K529" i="5" s="1"/>
  <c r="J528" i="5"/>
  <c r="J527" i="5"/>
  <c r="K527" i="5" s="1"/>
  <c r="J526" i="5"/>
  <c r="J525" i="5"/>
  <c r="K525" i="5" s="1"/>
  <c r="J524" i="5"/>
  <c r="J523" i="5"/>
  <c r="K523" i="5" s="1"/>
  <c r="J522" i="5"/>
  <c r="J521" i="5"/>
  <c r="K521" i="5" s="1"/>
  <c r="K520" i="5"/>
  <c r="J520" i="5"/>
  <c r="J519" i="5"/>
  <c r="J518" i="5"/>
  <c r="K518" i="5" s="1"/>
  <c r="J517" i="5"/>
  <c r="J516" i="5"/>
  <c r="K516" i="5" s="1"/>
  <c r="J515" i="5"/>
  <c r="J514" i="5"/>
  <c r="K514" i="5" s="1"/>
  <c r="J513" i="5"/>
  <c r="K513" i="5" s="1"/>
  <c r="J512" i="5"/>
  <c r="J511" i="5"/>
  <c r="K511" i="5" s="1"/>
  <c r="K510" i="5"/>
  <c r="J510" i="5"/>
  <c r="J509" i="5"/>
  <c r="J508" i="5"/>
  <c r="K508" i="5" s="1"/>
  <c r="K507" i="5"/>
  <c r="J507" i="5"/>
  <c r="J506" i="5"/>
  <c r="K506" i="5" s="1"/>
  <c r="J505" i="5"/>
  <c r="J504" i="5"/>
  <c r="K504" i="5" s="1"/>
  <c r="J503" i="5"/>
  <c r="J502" i="5"/>
  <c r="K502" i="5" s="1"/>
  <c r="J501" i="5"/>
  <c r="K501" i="5" s="1"/>
  <c r="K500" i="5"/>
  <c r="J500" i="5"/>
  <c r="J499" i="5"/>
  <c r="K499" i="5" s="1"/>
  <c r="K498" i="5"/>
  <c r="J498" i="5"/>
  <c r="J497" i="5"/>
  <c r="K496" i="5"/>
  <c r="J496" i="5"/>
  <c r="J495" i="5"/>
  <c r="K495" i="5" s="1"/>
  <c r="J494" i="5"/>
  <c r="K494" i="5" s="1"/>
  <c r="J493" i="5"/>
  <c r="K493" i="5" s="1"/>
  <c r="K492" i="5"/>
  <c r="J492" i="5"/>
  <c r="J491" i="5"/>
  <c r="K491" i="5" s="1"/>
  <c r="K490" i="5"/>
  <c r="J490" i="5"/>
  <c r="J489" i="5"/>
  <c r="K489" i="5" s="1"/>
  <c r="K488" i="5"/>
  <c r="J488" i="5"/>
  <c r="J487" i="5"/>
  <c r="K487" i="5" s="1"/>
  <c r="J486" i="5"/>
  <c r="K486" i="5" s="1"/>
  <c r="J485" i="5"/>
  <c r="K485" i="5" s="1"/>
  <c r="K484" i="5"/>
  <c r="J484" i="5"/>
  <c r="J483" i="5"/>
  <c r="K483" i="5" s="1"/>
  <c r="J482" i="5"/>
  <c r="K481" i="5"/>
  <c r="J481" i="5"/>
  <c r="J480" i="5"/>
  <c r="K479" i="5"/>
  <c r="J479" i="5"/>
  <c r="J478" i="5"/>
  <c r="K478" i="5" s="1"/>
  <c r="J477" i="5"/>
  <c r="K476" i="5"/>
  <c r="J476" i="5"/>
  <c r="G475" i="5"/>
  <c r="J475" i="5" s="1"/>
  <c r="K475" i="5" s="1"/>
  <c r="J474" i="5"/>
  <c r="K474" i="5" s="1"/>
  <c r="G473" i="5"/>
  <c r="J473" i="5" s="1"/>
  <c r="K473" i="5" s="1"/>
  <c r="K472" i="5"/>
  <c r="G472" i="5"/>
  <c r="J472" i="5" s="1"/>
  <c r="G471" i="5"/>
  <c r="J471" i="5" s="1"/>
  <c r="K471" i="5" s="1"/>
  <c r="G470" i="5"/>
  <c r="J470" i="5" s="1"/>
  <c r="K470" i="5" s="1"/>
  <c r="J469" i="5"/>
  <c r="K469" i="5" s="1"/>
  <c r="J468" i="5"/>
  <c r="K468" i="5" s="1"/>
  <c r="G467" i="5"/>
  <c r="J467" i="5" s="1"/>
  <c r="K467" i="5" s="1"/>
  <c r="J466" i="5"/>
  <c r="K466" i="5"/>
  <c r="J465" i="5"/>
  <c r="K465" i="5" s="1"/>
  <c r="J464" i="5"/>
  <c r="K464" i="5"/>
  <c r="J463" i="5"/>
  <c r="K463" i="5" s="1"/>
  <c r="J462" i="5"/>
  <c r="K462" i="5"/>
  <c r="J461" i="5"/>
  <c r="K461" i="5" s="1"/>
  <c r="J460" i="5"/>
  <c r="K460" i="5"/>
  <c r="J459" i="5"/>
  <c r="K459" i="5" s="1"/>
  <c r="J458" i="5"/>
  <c r="K458" i="5"/>
  <c r="J457" i="5"/>
  <c r="K457" i="5" s="1"/>
  <c r="J456" i="5"/>
  <c r="K456" i="5"/>
  <c r="J455" i="5"/>
  <c r="K455" i="5" s="1"/>
  <c r="J454" i="5"/>
  <c r="K454" i="5"/>
  <c r="J453" i="5"/>
  <c r="K453" i="5" s="1"/>
  <c r="K452" i="5"/>
  <c r="G452" i="5"/>
  <c r="J452" i="5" s="1"/>
  <c r="J451" i="5"/>
  <c r="K451" i="5" s="1"/>
  <c r="K450" i="5"/>
  <c r="J450" i="5"/>
  <c r="J449" i="5"/>
  <c r="K449" i="5" s="1"/>
  <c r="J448" i="5"/>
  <c r="K448" i="5" s="1"/>
  <c r="J447" i="5"/>
  <c r="K447" i="5" s="1"/>
  <c r="K446" i="5"/>
  <c r="J446" i="5"/>
  <c r="G445" i="5"/>
  <c r="J445" i="5" s="1"/>
  <c r="K445" i="5"/>
  <c r="K444" i="5"/>
  <c r="J444" i="5"/>
  <c r="J443" i="5"/>
  <c r="K443" i="5"/>
  <c r="K442" i="5"/>
  <c r="J442" i="5"/>
  <c r="G441" i="5"/>
  <c r="J441" i="5" s="1"/>
  <c r="K441" i="5" s="1"/>
  <c r="J440" i="5"/>
  <c r="K440" i="5" s="1"/>
  <c r="J439" i="5"/>
  <c r="K439" i="5" s="1"/>
  <c r="J438" i="5"/>
  <c r="K438" i="5" s="1"/>
  <c r="K437" i="5"/>
  <c r="J437" i="5"/>
  <c r="J436" i="5"/>
  <c r="K436" i="5" s="1"/>
  <c r="K435" i="5"/>
  <c r="J435" i="5"/>
  <c r="G435" i="5"/>
  <c r="J434" i="5"/>
  <c r="K434" i="5" s="1"/>
  <c r="G433" i="5"/>
  <c r="J433" i="5" s="1"/>
  <c r="K433" i="5" s="1"/>
  <c r="J432" i="5"/>
  <c r="K432" i="5" s="1"/>
  <c r="G432" i="5"/>
  <c r="J431" i="5"/>
  <c r="K431" i="5" s="1"/>
  <c r="G431" i="5"/>
  <c r="J430" i="5"/>
  <c r="K430" i="5" s="1"/>
  <c r="G430" i="5"/>
  <c r="K429" i="5"/>
  <c r="J429" i="5"/>
  <c r="J428" i="5"/>
  <c r="K428" i="5" s="1"/>
  <c r="K427" i="5"/>
  <c r="J427" i="5"/>
  <c r="J426" i="5"/>
  <c r="K426" i="5" s="1"/>
  <c r="J425" i="5"/>
  <c r="J424" i="5"/>
  <c r="K424" i="5" s="1"/>
  <c r="K423" i="5"/>
  <c r="J423" i="5"/>
  <c r="J422" i="5"/>
  <c r="K422" i="5" s="1"/>
  <c r="K421" i="5"/>
  <c r="J421" i="5"/>
  <c r="J420" i="5"/>
  <c r="K420" i="5" s="1"/>
  <c r="K419" i="5"/>
  <c r="J419" i="5"/>
  <c r="J418" i="5"/>
  <c r="J417" i="5"/>
  <c r="K417" i="5" s="1"/>
  <c r="J416" i="5"/>
  <c r="J415" i="5"/>
  <c r="K415" i="5" s="1"/>
  <c r="J414" i="5"/>
  <c r="J413" i="5"/>
  <c r="K413" i="5" s="1"/>
  <c r="J412" i="5"/>
  <c r="K411" i="5"/>
  <c r="J411" i="5"/>
  <c r="J410" i="5"/>
  <c r="J409" i="5"/>
  <c r="K409" i="5" s="1"/>
  <c r="J408" i="5"/>
  <c r="J407" i="5"/>
  <c r="K407" i="5" s="1"/>
  <c r="J406" i="5"/>
  <c r="K406" i="5" s="1"/>
  <c r="J405" i="5"/>
  <c r="K405" i="5" s="1"/>
  <c r="J404" i="5"/>
  <c r="K404" i="5" s="1"/>
  <c r="J403" i="5"/>
  <c r="K403" i="5" s="1"/>
  <c r="K402" i="5"/>
  <c r="J402" i="5"/>
  <c r="J401" i="5"/>
  <c r="K401" i="5" s="1"/>
  <c r="K400" i="5"/>
  <c r="J400" i="5"/>
  <c r="J399" i="5"/>
  <c r="K399" i="5" s="1"/>
  <c r="J398" i="5"/>
  <c r="K398" i="5" s="1"/>
  <c r="J397" i="5"/>
  <c r="K397" i="5" s="1"/>
  <c r="J396" i="5"/>
  <c r="K396" i="5" s="1"/>
  <c r="J395" i="5"/>
  <c r="K395" i="5" s="1"/>
  <c r="J394" i="5"/>
  <c r="K394" i="5" s="1"/>
  <c r="J393" i="5"/>
  <c r="K393" i="5" s="1"/>
  <c r="K392" i="5"/>
  <c r="J392" i="5"/>
  <c r="J391" i="5"/>
  <c r="K391" i="5" s="1"/>
  <c r="K390" i="5"/>
  <c r="J390" i="5"/>
  <c r="J389" i="5"/>
  <c r="K389" i="5" s="1"/>
  <c r="J388" i="5"/>
  <c r="K388" i="5" s="1"/>
  <c r="J387" i="5"/>
  <c r="K387" i="5" s="1"/>
  <c r="J386" i="5"/>
  <c r="K386" i="5" s="1"/>
  <c r="J385" i="5"/>
  <c r="K385" i="5" s="1"/>
  <c r="K384" i="5"/>
  <c r="J384" i="5"/>
  <c r="J383" i="5"/>
  <c r="K383" i="5" s="1"/>
  <c r="J382" i="5"/>
  <c r="K382" i="5" s="1"/>
  <c r="J381" i="5"/>
  <c r="K381" i="5" s="1"/>
  <c r="J380" i="5"/>
  <c r="K380" i="5" s="1"/>
  <c r="J379" i="5"/>
  <c r="K379" i="5" s="1"/>
  <c r="J378" i="5"/>
  <c r="K378" i="5" s="1"/>
  <c r="J377" i="5"/>
  <c r="K377" i="5" s="1"/>
  <c r="K376" i="5"/>
  <c r="J376" i="5"/>
  <c r="J375" i="5"/>
  <c r="K375" i="5" s="1"/>
  <c r="K374" i="5"/>
  <c r="J374" i="5"/>
  <c r="J373" i="5"/>
  <c r="K373" i="5" s="1"/>
  <c r="J372" i="5"/>
  <c r="K372" i="5" s="1"/>
  <c r="J371" i="5"/>
  <c r="K371" i="5" s="1"/>
  <c r="J370" i="5"/>
  <c r="K370" i="5" s="1"/>
  <c r="J369" i="5"/>
  <c r="K369" i="5" s="1"/>
  <c r="K368" i="5"/>
  <c r="J368" i="5"/>
  <c r="J367" i="5"/>
  <c r="K367" i="5" s="1"/>
  <c r="J366" i="5"/>
  <c r="K366" i="5" s="1"/>
  <c r="J365" i="5"/>
  <c r="K365" i="5" s="1"/>
  <c r="J364" i="5"/>
  <c r="K364" i="5" s="1"/>
  <c r="J363" i="5"/>
  <c r="K363" i="5" s="1"/>
  <c r="J362" i="5"/>
  <c r="K362" i="5" s="1"/>
  <c r="J361" i="5"/>
  <c r="K361" i="5" s="1"/>
  <c r="K360" i="5"/>
  <c r="J360" i="5"/>
  <c r="J359" i="5"/>
  <c r="K359" i="5" s="1"/>
  <c r="K358" i="5"/>
  <c r="J358" i="5"/>
  <c r="J357" i="5"/>
  <c r="K357" i="5" s="1"/>
  <c r="J356" i="5"/>
  <c r="K356" i="5" s="1"/>
  <c r="J355" i="5"/>
  <c r="K355" i="5" s="1"/>
  <c r="J354" i="5"/>
  <c r="K354" i="5" s="1"/>
  <c r="J353" i="5"/>
  <c r="K353" i="5" s="1"/>
  <c r="K352" i="5"/>
  <c r="J352" i="5"/>
  <c r="J351" i="5"/>
  <c r="K351" i="5" s="1"/>
  <c r="J350" i="5"/>
  <c r="K350" i="5" s="1"/>
  <c r="J349" i="5"/>
  <c r="K349" i="5" s="1"/>
  <c r="J348" i="5"/>
  <c r="K348" i="5" s="1"/>
  <c r="J347" i="5"/>
  <c r="K347" i="5" s="1"/>
  <c r="J346" i="5"/>
  <c r="K346" i="5" s="1"/>
  <c r="J345" i="5"/>
  <c r="K345" i="5" s="1"/>
  <c r="K344" i="5"/>
  <c r="J344" i="5"/>
  <c r="J343" i="5"/>
  <c r="K343" i="5" s="1"/>
  <c r="K342" i="5"/>
  <c r="J342" i="5"/>
  <c r="J341" i="5"/>
  <c r="K341" i="5" s="1"/>
  <c r="J340" i="5"/>
  <c r="K340" i="5" s="1"/>
  <c r="J339" i="5"/>
  <c r="K339" i="5" s="1"/>
  <c r="J338" i="5"/>
  <c r="K338" i="5" s="1"/>
  <c r="J337" i="5"/>
  <c r="K337" i="5" s="1"/>
  <c r="K336" i="5"/>
  <c r="J336" i="5"/>
  <c r="J335" i="5"/>
  <c r="K335" i="5" s="1"/>
  <c r="J334" i="5"/>
  <c r="K334" i="5" s="1"/>
  <c r="J333" i="5"/>
  <c r="K333" i="5" s="1"/>
  <c r="J332" i="5"/>
  <c r="K332" i="5" s="1"/>
  <c r="J331" i="5"/>
  <c r="K331" i="5" s="1"/>
  <c r="J330" i="5"/>
  <c r="K330" i="5" s="1"/>
  <c r="J329" i="5"/>
  <c r="K329" i="5" s="1"/>
  <c r="K328" i="5"/>
  <c r="J328" i="5"/>
  <c r="J327" i="5"/>
  <c r="K327" i="5" s="1"/>
  <c r="K326" i="5"/>
  <c r="J326" i="5"/>
  <c r="J325" i="5"/>
  <c r="K325" i="5" s="1"/>
  <c r="J324" i="5"/>
  <c r="K324" i="5" s="1"/>
  <c r="J323" i="5"/>
  <c r="K323" i="5" s="1"/>
  <c r="J322" i="5"/>
  <c r="K322" i="5" s="1"/>
  <c r="J321" i="5"/>
  <c r="K321" i="5" s="1"/>
  <c r="K320" i="5"/>
  <c r="J320" i="5"/>
  <c r="J319" i="5"/>
  <c r="K319" i="5" s="1"/>
  <c r="J318" i="5"/>
  <c r="K318" i="5" s="1"/>
  <c r="J317" i="5"/>
  <c r="K317" i="5" s="1"/>
  <c r="J316" i="5"/>
  <c r="K316" i="5" s="1"/>
  <c r="J315" i="5"/>
  <c r="K315" i="5" s="1"/>
  <c r="J314" i="5"/>
  <c r="K314" i="5" s="1"/>
  <c r="J313" i="5"/>
  <c r="K313" i="5" s="1"/>
  <c r="K312" i="5"/>
  <c r="J312" i="5"/>
  <c r="J311" i="5"/>
  <c r="K311" i="5" s="1"/>
  <c r="K310" i="5"/>
  <c r="J310" i="5"/>
  <c r="J309" i="5"/>
  <c r="K309" i="5" s="1"/>
  <c r="J308" i="5"/>
  <c r="K308" i="5" s="1"/>
  <c r="J307" i="5"/>
  <c r="K307" i="5" s="1"/>
  <c r="J306" i="5"/>
  <c r="K306" i="5" s="1"/>
  <c r="J305" i="5"/>
  <c r="K305" i="5" s="1"/>
  <c r="K304" i="5"/>
  <c r="J304" i="5"/>
  <c r="J303" i="5"/>
  <c r="K303" i="5" s="1"/>
  <c r="J302" i="5"/>
  <c r="K302" i="5" s="1"/>
  <c r="J301" i="5"/>
  <c r="K301" i="5" s="1"/>
  <c r="J300" i="5"/>
  <c r="K300" i="5" s="1"/>
  <c r="J299" i="5"/>
  <c r="K299" i="5" s="1"/>
  <c r="J298" i="5"/>
  <c r="K298" i="5" s="1"/>
  <c r="J297" i="5"/>
  <c r="K297" i="5" s="1"/>
  <c r="K296" i="5"/>
  <c r="J296" i="5"/>
  <c r="J295" i="5"/>
  <c r="K295" i="5" s="1"/>
  <c r="K294" i="5"/>
  <c r="J294" i="5"/>
  <c r="J293" i="5"/>
  <c r="K293" i="5" s="1"/>
  <c r="J292" i="5"/>
  <c r="K292" i="5" s="1"/>
  <c r="J291" i="5"/>
  <c r="K291" i="5" s="1"/>
  <c r="J290" i="5"/>
  <c r="K290" i="5" s="1"/>
  <c r="J289" i="5"/>
  <c r="K289" i="5" s="1"/>
  <c r="K288" i="5"/>
  <c r="J288" i="5"/>
  <c r="J287" i="5"/>
  <c r="K287" i="5"/>
  <c r="K286" i="5"/>
  <c r="J286" i="5"/>
  <c r="J285" i="5"/>
  <c r="K285" i="5"/>
  <c r="K284" i="5"/>
  <c r="J284" i="5"/>
  <c r="J283" i="5"/>
  <c r="K283" i="5"/>
  <c r="J282" i="5"/>
  <c r="K282" i="5" s="1"/>
  <c r="J281" i="5"/>
  <c r="K281" i="5"/>
  <c r="K280" i="5"/>
  <c r="J280" i="5"/>
  <c r="J279" i="5"/>
  <c r="K279" i="5"/>
  <c r="K278" i="5"/>
  <c r="J278" i="5"/>
  <c r="J277" i="5"/>
  <c r="K277" i="5"/>
  <c r="K276" i="5"/>
  <c r="J276" i="5"/>
  <c r="J275" i="5"/>
  <c r="K275" i="5"/>
  <c r="J274" i="5"/>
  <c r="K274" i="5" s="1"/>
  <c r="J273" i="5"/>
  <c r="K273" i="5"/>
  <c r="K272" i="5"/>
  <c r="J272" i="5"/>
  <c r="J271" i="5"/>
  <c r="K271" i="5"/>
  <c r="K270" i="5"/>
  <c r="J270" i="5"/>
  <c r="J269" i="5"/>
  <c r="K269" i="5"/>
  <c r="K268" i="5"/>
  <c r="J268" i="5"/>
  <c r="J267" i="5"/>
  <c r="K267" i="5"/>
  <c r="J266" i="5"/>
  <c r="K266" i="5" s="1"/>
  <c r="J265" i="5"/>
  <c r="K265" i="5"/>
  <c r="K264" i="5"/>
  <c r="J264" i="5"/>
  <c r="J263" i="5"/>
  <c r="K263" i="5"/>
  <c r="K262" i="5"/>
  <c r="J262" i="5"/>
  <c r="J261" i="5"/>
  <c r="K261" i="5"/>
  <c r="K260" i="5"/>
  <c r="J260" i="5"/>
  <c r="J259" i="5"/>
  <c r="K259" i="5"/>
  <c r="J258" i="5"/>
  <c r="K258" i="5" s="1"/>
  <c r="J257" i="5"/>
  <c r="K257" i="5" s="1"/>
  <c r="K256" i="5"/>
  <c r="J256" i="5"/>
  <c r="J255" i="5"/>
  <c r="K255" i="5" s="1"/>
  <c r="K254" i="5"/>
  <c r="J254" i="5"/>
  <c r="J253" i="5"/>
  <c r="K253" i="5" s="1"/>
  <c r="K252" i="5"/>
  <c r="J252" i="5"/>
  <c r="J251" i="5"/>
  <c r="K251" i="5" s="1"/>
  <c r="J250" i="5"/>
  <c r="K250" i="5" s="1"/>
  <c r="J249" i="5"/>
  <c r="K249" i="5" s="1"/>
  <c r="K248" i="5"/>
  <c r="J248" i="5"/>
  <c r="J247" i="5"/>
  <c r="K247" i="5" s="1"/>
  <c r="K246" i="5"/>
  <c r="J246" i="5"/>
  <c r="J245" i="5"/>
  <c r="K245" i="5" s="1"/>
  <c r="K244" i="5"/>
  <c r="J244" i="5"/>
  <c r="J243" i="5"/>
  <c r="K243" i="5" s="1"/>
  <c r="J242" i="5"/>
  <c r="K242" i="5" s="1"/>
  <c r="J241" i="5"/>
  <c r="K241" i="5"/>
  <c r="K240" i="5"/>
  <c r="J240" i="5"/>
  <c r="J239" i="5"/>
  <c r="K239" i="5"/>
  <c r="K238" i="5"/>
  <c r="J238" i="5"/>
  <c r="J237" i="5"/>
  <c r="K237" i="5"/>
  <c r="K236" i="5"/>
  <c r="J236" i="5"/>
  <c r="J235" i="5"/>
  <c r="K235" i="5"/>
  <c r="J234" i="5"/>
  <c r="K234" i="5" s="1"/>
  <c r="J233" i="5"/>
  <c r="K233" i="5"/>
  <c r="K232" i="5"/>
  <c r="J232" i="5"/>
  <c r="J231" i="5"/>
  <c r="K231" i="5"/>
  <c r="K230" i="5"/>
  <c r="J230" i="5"/>
  <c r="J229" i="5"/>
  <c r="K229" i="5"/>
  <c r="K228" i="5"/>
  <c r="J228" i="5"/>
  <c r="J227" i="5"/>
  <c r="K227" i="5"/>
  <c r="J226" i="5"/>
  <c r="K226" i="5" s="1"/>
  <c r="J225" i="5"/>
  <c r="K225" i="5" s="1"/>
  <c r="K224" i="5"/>
  <c r="J224" i="5"/>
  <c r="J223" i="5"/>
  <c r="K223" i="5" s="1"/>
  <c r="K222" i="5"/>
  <c r="J222" i="5"/>
  <c r="J221" i="5"/>
  <c r="K221" i="5" s="1"/>
  <c r="K220" i="5"/>
  <c r="J220" i="5"/>
  <c r="J219" i="5"/>
  <c r="K219" i="5" s="1"/>
  <c r="J218" i="5"/>
  <c r="K218" i="5" s="1"/>
  <c r="J217" i="5"/>
  <c r="K217" i="5" s="1"/>
  <c r="K216" i="5"/>
  <c r="J216" i="5"/>
  <c r="J215" i="5"/>
  <c r="K215" i="5" s="1"/>
  <c r="K214" i="5"/>
  <c r="J214" i="5"/>
  <c r="J213" i="5"/>
  <c r="K213" i="5" s="1"/>
  <c r="K212" i="5"/>
  <c r="J212" i="5"/>
  <c r="J211" i="5"/>
  <c r="K211" i="5" s="1"/>
  <c r="J210" i="5"/>
  <c r="K210" i="5" s="1"/>
  <c r="J209" i="5"/>
  <c r="K209" i="5"/>
  <c r="K208" i="5"/>
  <c r="J208" i="5"/>
  <c r="J207" i="5"/>
  <c r="K207" i="5"/>
  <c r="K206" i="5"/>
  <c r="J206" i="5"/>
  <c r="J205" i="5"/>
  <c r="K205" i="5"/>
  <c r="K204" i="5"/>
  <c r="J204" i="5"/>
  <c r="J203" i="5"/>
  <c r="K203" i="5"/>
  <c r="J202" i="5"/>
  <c r="K202" i="5" s="1"/>
  <c r="J201" i="5"/>
  <c r="K201" i="5"/>
  <c r="K200" i="5"/>
  <c r="J200" i="5"/>
  <c r="J199" i="5"/>
  <c r="K199" i="5"/>
  <c r="K198" i="5"/>
  <c r="J198" i="5"/>
  <c r="J197" i="5"/>
  <c r="K197" i="5"/>
  <c r="K196" i="5"/>
  <c r="J196" i="5"/>
  <c r="J195" i="5"/>
  <c r="K195" i="5"/>
  <c r="J194" i="5"/>
  <c r="K194" i="5" s="1"/>
  <c r="J193" i="5"/>
  <c r="K193" i="5" s="1"/>
  <c r="K192" i="5"/>
  <c r="J192" i="5"/>
  <c r="J191" i="5"/>
  <c r="K191" i="5" s="1"/>
  <c r="K190" i="5"/>
  <c r="J190" i="5"/>
  <c r="J189" i="5"/>
  <c r="K189" i="5" s="1"/>
  <c r="K188" i="5"/>
  <c r="J188" i="5"/>
  <c r="J187" i="5"/>
  <c r="K187" i="5" s="1"/>
  <c r="J186" i="5"/>
  <c r="K186" i="5" s="1"/>
  <c r="J185" i="5"/>
  <c r="K185" i="5" s="1"/>
  <c r="K184" i="5"/>
  <c r="J184" i="5"/>
  <c r="J183" i="5"/>
  <c r="K183" i="5" s="1"/>
  <c r="K182" i="5"/>
  <c r="J182" i="5"/>
  <c r="J181" i="5"/>
  <c r="K181" i="5" s="1"/>
  <c r="K180" i="5"/>
  <c r="J180" i="5"/>
  <c r="J179" i="5"/>
  <c r="K179" i="5" s="1"/>
  <c r="J178" i="5"/>
  <c r="K178" i="5" s="1"/>
  <c r="J177" i="5"/>
  <c r="K177" i="5"/>
  <c r="K176" i="5"/>
  <c r="J176" i="5"/>
  <c r="J175" i="5"/>
  <c r="K174" i="5"/>
  <c r="J174" i="5"/>
  <c r="J173" i="5"/>
  <c r="J172" i="5"/>
  <c r="K172" i="5"/>
  <c r="K171" i="5"/>
  <c r="J171" i="5"/>
  <c r="J170" i="5"/>
  <c r="K170" i="5"/>
  <c r="K169" i="5"/>
  <c r="J169" i="5"/>
  <c r="J168" i="5"/>
  <c r="K168" i="5"/>
  <c r="J167" i="5"/>
  <c r="K167" i="5" s="1"/>
  <c r="J166" i="5"/>
  <c r="K166" i="5"/>
  <c r="K165" i="5"/>
  <c r="J165" i="5"/>
  <c r="J164" i="5"/>
  <c r="K164" i="5"/>
  <c r="K163" i="5"/>
  <c r="J163" i="5"/>
  <c r="J162" i="5"/>
  <c r="K162" i="5"/>
  <c r="K161" i="5"/>
  <c r="J161" i="5"/>
  <c r="J160" i="5"/>
  <c r="K160" i="5" s="1"/>
  <c r="K159" i="5"/>
  <c r="J159" i="5"/>
  <c r="J158" i="5"/>
  <c r="K158" i="5" s="1"/>
  <c r="K157" i="5"/>
  <c r="J157" i="5"/>
  <c r="J156" i="5"/>
  <c r="J155" i="5"/>
  <c r="K155" i="5"/>
  <c r="J154" i="5"/>
  <c r="K154" i="5" s="1"/>
  <c r="J153" i="5"/>
  <c r="K153" i="5"/>
  <c r="J152" i="5"/>
  <c r="K152" i="5" s="1"/>
  <c r="J151" i="5"/>
  <c r="K151" i="5" s="1"/>
  <c r="J150" i="5"/>
  <c r="K150" i="5" s="1"/>
  <c r="J149" i="5"/>
  <c r="K149" i="5" s="1"/>
  <c r="J148" i="5"/>
  <c r="K148" i="5" s="1"/>
  <c r="J147" i="5"/>
  <c r="K147" i="5"/>
  <c r="J146" i="5"/>
  <c r="K146" i="5" s="1"/>
  <c r="J145" i="5"/>
  <c r="K145" i="5"/>
  <c r="J144" i="5"/>
  <c r="K144" i="5" s="1"/>
  <c r="J143" i="5"/>
  <c r="K143" i="5" s="1"/>
  <c r="J142" i="5"/>
  <c r="K142" i="5" s="1"/>
  <c r="J141" i="5"/>
  <c r="K141" i="5" s="1"/>
  <c r="J140" i="5"/>
  <c r="K140" i="5" s="1"/>
  <c r="J139" i="5"/>
  <c r="K139" i="5"/>
  <c r="J138" i="5"/>
  <c r="K138" i="5" s="1"/>
  <c r="J137" i="5"/>
  <c r="K137" i="5"/>
  <c r="J136" i="5"/>
  <c r="K136" i="5" s="1"/>
  <c r="J135" i="5"/>
  <c r="K135" i="5" s="1"/>
  <c r="J134" i="5"/>
  <c r="K134" i="5" s="1"/>
  <c r="J133" i="5"/>
  <c r="K133" i="5" s="1"/>
  <c r="J132" i="5"/>
  <c r="K132" i="5" s="1"/>
  <c r="J131" i="5"/>
  <c r="K131" i="5"/>
  <c r="J130" i="5"/>
  <c r="K130" i="5" s="1"/>
  <c r="J129" i="5"/>
  <c r="K129" i="5"/>
  <c r="J128" i="5"/>
  <c r="K128" i="5" s="1"/>
  <c r="J127" i="5"/>
  <c r="K127" i="5" s="1"/>
  <c r="J126" i="5"/>
  <c r="K126" i="5" s="1"/>
  <c r="J125" i="5"/>
  <c r="K125" i="5" s="1"/>
  <c r="J124" i="5"/>
  <c r="J123" i="5"/>
  <c r="K123" i="5" s="1"/>
  <c r="J122" i="5"/>
  <c r="J121" i="5"/>
  <c r="K121" i="5" s="1"/>
  <c r="J120" i="5"/>
  <c r="K119" i="5"/>
  <c r="J119" i="5"/>
  <c r="J118" i="5"/>
  <c r="J117" i="5"/>
  <c r="K117" i="5"/>
  <c r="J116" i="5"/>
  <c r="K116" i="5" s="1"/>
  <c r="J115" i="5"/>
  <c r="K115" i="5"/>
  <c r="J114" i="5"/>
  <c r="K114" i="5" s="1"/>
  <c r="J113" i="5"/>
  <c r="K113" i="5" s="1"/>
  <c r="J112" i="5"/>
  <c r="K112" i="5" s="1"/>
  <c r="J111" i="5"/>
  <c r="K111" i="5" s="1"/>
  <c r="J110" i="5"/>
  <c r="K110" i="5" s="1"/>
  <c r="J109" i="5"/>
  <c r="K109" i="5"/>
  <c r="J108" i="5"/>
  <c r="K108" i="5" s="1"/>
  <c r="J107" i="5"/>
  <c r="K107" i="5"/>
  <c r="J106" i="5"/>
  <c r="K106" i="5" s="1"/>
  <c r="J105" i="5"/>
  <c r="J104" i="5"/>
  <c r="J103" i="5"/>
  <c r="K102" i="5"/>
  <c r="J102" i="5"/>
  <c r="K101" i="5"/>
  <c r="J101" i="5"/>
  <c r="K100" i="5"/>
  <c r="J100" i="5"/>
  <c r="G99" i="5"/>
  <c r="J99" i="5" s="1"/>
  <c r="K99" i="5" s="1"/>
  <c r="J98" i="5"/>
  <c r="K97" i="5"/>
  <c r="J97" i="5"/>
  <c r="J96" i="5"/>
  <c r="K96" i="5" s="1"/>
  <c r="K95" i="5"/>
  <c r="J95" i="5"/>
  <c r="J94" i="5"/>
  <c r="K94" i="5" s="1"/>
  <c r="K93" i="5"/>
  <c r="J93" i="5"/>
  <c r="J92" i="5"/>
  <c r="K92" i="5" s="1"/>
  <c r="K91" i="5"/>
  <c r="J91" i="5"/>
  <c r="J90" i="5"/>
  <c r="J89" i="5"/>
  <c r="K89" i="5" s="1"/>
  <c r="J88" i="5"/>
  <c r="K88" i="5" s="1"/>
  <c r="J87" i="5"/>
  <c r="K87" i="5"/>
  <c r="J86" i="5"/>
  <c r="K86" i="5" s="1"/>
  <c r="J85" i="5"/>
  <c r="K85" i="5"/>
  <c r="J84" i="5"/>
  <c r="K84" i="5" s="1"/>
  <c r="J83" i="5"/>
  <c r="K83" i="5" s="1"/>
  <c r="J82" i="5"/>
  <c r="K82" i="5" s="1"/>
  <c r="J81" i="5"/>
  <c r="K81" i="5" s="1"/>
  <c r="J80" i="5"/>
  <c r="K80" i="5" s="1"/>
  <c r="J79" i="5"/>
  <c r="K78" i="5"/>
  <c r="J78" i="5"/>
  <c r="J77" i="5"/>
  <c r="K77" i="5" s="1"/>
  <c r="K76" i="5"/>
  <c r="J76" i="5"/>
  <c r="J75" i="5"/>
  <c r="K75" i="5" s="1"/>
  <c r="K74" i="5"/>
  <c r="J74" i="5"/>
  <c r="J73" i="5"/>
  <c r="J72" i="5"/>
  <c r="K72" i="5"/>
  <c r="J71" i="5"/>
  <c r="K71" i="5" s="1"/>
  <c r="J70" i="5"/>
  <c r="K69" i="5"/>
  <c r="J69" i="5"/>
  <c r="J68" i="5"/>
  <c r="J67" i="5"/>
  <c r="K67" i="5"/>
  <c r="J66" i="5"/>
  <c r="K66" i="5" s="1"/>
  <c r="J65" i="5"/>
  <c r="K64" i="5"/>
  <c r="J64" i="5"/>
  <c r="K63" i="5"/>
  <c r="J63" i="5"/>
  <c r="J62" i="5"/>
  <c r="J61" i="5"/>
  <c r="K61" i="5" s="1"/>
  <c r="J60" i="5"/>
  <c r="K60" i="5" s="1"/>
  <c r="J59" i="5"/>
  <c r="J58" i="5"/>
  <c r="K58" i="5" s="1"/>
  <c r="J57" i="5"/>
  <c r="J56" i="5"/>
  <c r="K56" i="5" s="1"/>
  <c r="J55" i="5"/>
  <c r="K54" i="5"/>
  <c r="G54" i="5"/>
  <c r="J54" i="5" s="1"/>
  <c r="J53" i="5"/>
  <c r="K52" i="5"/>
  <c r="J52" i="5"/>
  <c r="K51" i="5"/>
  <c r="J51" i="5"/>
  <c r="K50" i="5"/>
  <c r="J50" i="5"/>
  <c r="J49" i="5"/>
  <c r="J48" i="5"/>
  <c r="K48" i="5"/>
  <c r="J47" i="5"/>
  <c r="K47" i="5" s="1"/>
  <c r="J46" i="5"/>
  <c r="K46" i="5" s="1"/>
  <c r="J45" i="5"/>
  <c r="K44" i="5"/>
  <c r="J44" i="5"/>
  <c r="K43" i="5"/>
  <c r="J43" i="5"/>
  <c r="K42" i="5"/>
  <c r="J42" i="5"/>
  <c r="K41" i="5"/>
  <c r="J41" i="5"/>
  <c r="J40" i="5"/>
  <c r="J39" i="5"/>
  <c r="K39" i="5" s="1"/>
  <c r="J38" i="5"/>
  <c r="K38" i="5" s="1"/>
  <c r="J37" i="5"/>
  <c r="K36" i="5"/>
  <c r="J36" i="5"/>
  <c r="J35" i="5"/>
  <c r="J34" i="5"/>
  <c r="K34" i="5" s="1"/>
  <c r="J33" i="5"/>
  <c r="K33" i="5" s="1"/>
  <c r="J32" i="5"/>
  <c r="K32" i="5"/>
  <c r="J31" i="5"/>
  <c r="K31" i="5" s="1"/>
  <c r="J30" i="5"/>
  <c r="K29" i="5"/>
  <c r="J29" i="5"/>
  <c r="J28" i="5"/>
  <c r="J27" i="5"/>
  <c r="K27" i="5"/>
  <c r="J26" i="5"/>
  <c r="K25" i="5"/>
  <c r="J25" i="5"/>
  <c r="K24" i="5"/>
  <c r="J24" i="5"/>
  <c r="K23" i="5"/>
  <c r="J23" i="5"/>
  <c r="K22" i="5"/>
  <c r="J22" i="5"/>
  <c r="J21" i="5"/>
  <c r="J20" i="5"/>
  <c r="K20" i="5"/>
  <c r="J19" i="5"/>
  <c r="K19" i="5" s="1"/>
  <c r="J18" i="5"/>
  <c r="K17" i="5"/>
  <c r="J17" i="5"/>
  <c r="J16" i="5"/>
  <c r="J15" i="5"/>
  <c r="K15" i="5" s="1"/>
  <c r="F446" i="2"/>
  <c r="E446" i="2"/>
  <c r="G446" i="2" s="1"/>
  <c r="G16" i="2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F1366" i="6"/>
  <c r="H66" i="6"/>
  <c r="I66" i="6" s="1"/>
  <c r="J66" i="6"/>
  <c r="H1366" i="6"/>
  <c r="F326" i="4"/>
  <c r="G326" i="4" s="1"/>
  <c r="E326" i="4"/>
  <c r="F365" i="4"/>
  <c r="F370" i="4"/>
  <c r="F376" i="8"/>
  <c r="F339" i="8"/>
  <c r="E339" i="8"/>
  <c r="E376" i="8"/>
  <c r="F442" i="4"/>
  <c r="F383" i="9"/>
  <c r="E250" i="9"/>
  <c r="F302" i="9"/>
  <c r="F304" i="9" s="1"/>
  <c r="F301" i="8"/>
  <c r="F306" i="8"/>
  <c r="I243" i="1"/>
  <c r="E304" i="9"/>
  <c r="E308" i="9"/>
  <c r="F374" i="4" l="1"/>
  <c r="F440" i="4" s="1"/>
  <c r="J17" i="6"/>
  <c r="I1366" i="6"/>
  <c r="G1414" i="5"/>
  <c r="E374" i="4"/>
  <c r="I228" i="7"/>
  <c r="F250" i="9"/>
  <c r="F259" i="8"/>
  <c r="I25" i="7"/>
  <c r="F243" i="8"/>
  <c r="F265" i="8" s="1"/>
  <c r="G265" i="8" s="1"/>
  <c r="F310" i="8" s="1"/>
  <c r="F383" i="8" s="1"/>
  <c r="F387" i="8" s="1"/>
  <c r="F245" i="9"/>
  <c r="F244" i="9"/>
  <c r="F242" i="9"/>
  <c r="F243" i="1"/>
  <c r="G250" i="9" l="1"/>
  <c r="F308" i="9" s="1"/>
  <c r="F388" i="9" s="1"/>
  <c r="F252" i="9"/>
</calcChain>
</file>

<file path=xl/sharedStrings.xml><?xml version="1.0" encoding="utf-8"?>
<sst xmlns="http://schemas.openxmlformats.org/spreadsheetml/2006/main" count="10950" uniqueCount="2258">
  <si>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</si>
  <si>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</si>
  <si>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</si>
  <si>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</si>
  <si>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</si>
  <si>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</si>
  <si>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</si>
  <si>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</si>
  <si>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</si>
  <si>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</si>
  <si>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</si>
  <si>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</si>
  <si>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</si>
  <si>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</si>
  <si>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</si>
  <si>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</si>
  <si>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</si>
  <si>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</si>
  <si>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</si>
  <si>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</si>
  <si>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</si>
  <si>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</si>
  <si>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</si>
  <si>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</si>
  <si>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</si>
  <si>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</si>
  <si>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</si>
  <si>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</si>
  <si>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</si>
  <si>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</si>
  <si>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</si>
  <si>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</si>
  <si>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</si>
  <si>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</si>
  <si>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</si>
  <si>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</si>
  <si>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</si>
  <si>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</si>
  <si>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</si>
  <si>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</si>
  <si>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</si>
  <si>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</si>
  <si>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</si>
  <si>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</si>
  <si>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</si>
  <si>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</si>
  <si>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</si>
  <si>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</si>
  <si>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</si>
  <si>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</si>
  <si>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</si>
  <si>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</si>
  <si>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</si>
  <si>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</si>
  <si>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</si>
  <si>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</si>
  <si>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</si>
  <si>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</si>
  <si>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</si>
  <si>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</si>
  <si>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</si>
  <si>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</si>
  <si>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</si>
  <si>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</si>
  <si>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</si>
  <si>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</si>
  <si>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</si>
  <si>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</si>
  <si>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</si>
  <si>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</si>
  <si>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</si>
  <si>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</si>
  <si>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</si>
  <si>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</si>
  <si>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</si>
  <si>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</si>
  <si>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</si>
  <si>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</si>
  <si>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</si>
  <si>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</si>
  <si>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</si>
  <si>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</si>
  <si>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</si>
  <si>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</si>
  <si>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</si>
  <si>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</si>
  <si>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</si>
  <si>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</si>
  <si>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</si>
  <si>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</si>
  <si>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</si>
  <si>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</si>
  <si>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</si>
  <si>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</si>
  <si>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</si>
  <si>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</si>
  <si>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</si>
  <si>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</si>
  <si>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</si>
  <si>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</si>
  <si>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</si>
  <si>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</si>
  <si>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</si>
  <si>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</si>
  <si>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</si>
  <si>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</si>
  <si>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</si>
  <si>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</si>
  <si>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</si>
  <si>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</si>
  <si>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</si>
  <si>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</si>
  <si>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</si>
  <si>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</si>
  <si>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</si>
  <si>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</si>
  <si>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</si>
  <si>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</si>
  <si>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</si>
  <si>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</si>
  <si>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</si>
  <si>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</si>
  <si>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</si>
  <si>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</si>
  <si>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</si>
  <si>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 xml:space="preserve">COOPERATIVA NACIONAL AGROPECUARIA </t>
  </si>
  <si>
    <t>DESCUENTOS A EMPLEADOS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</si>
  <si>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</si>
  <si>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</si>
  <si>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</si>
  <si>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</si>
  <si>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</si>
  <si>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</si>
  <si>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</si>
  <si>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</si>
  <si>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</si>
  <si>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</si>
  <si>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</si>
  <si>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</si>
  <si>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</si>
  <si>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</si>
  <si>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</si>
  <si>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</si>
  <si>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</si>
  <si>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</si>
  <si>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</si>
  <si>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</si>
  <si>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</si>
  <si>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</si>
  <si>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</si>
  <si>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FT-DIC-2013</t>
  </si>
  <si>
    <t>INAPA /INSTITUTO NACIONAL DE AGUAS POTABLES Y ALC.</t>
  </si>
  <si>
    <t>SERVICIOS DE AGUA Y ALCANTARILLADO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</si>
  <si>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</si>
  <si>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</si>
  <si>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</si>
  <si>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</si>
  <si>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</si>
  <si>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</si>
  <si>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</si>
  <si>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</si>
  <si>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</si>
  <si>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</si>
  <si>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</si>
  <si>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</si>
  <si>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</si>
  <si>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</si>
  <si>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</si>
  <si>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</si>
  <si>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</si>
  <si>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</si>
  <si>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</si>
  <si>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</si>
  <si>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</si>
  <si>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</si>
  <si>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</si>
  <si>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</si>
  <si>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</si>
  <si>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</si>
  <si>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</si>
  <si>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</si>
  <si>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</si>
  <si>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</si>
  <si>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</si>
  <si>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</si>
  <si>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</si>
  <si>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</si>
  <si>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</si>
  <si>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</si>
  <si>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</si>
  <si>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</si>
  <si>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</si>
  <si>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</si>
  <si>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</si>
  <si>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</si>
  <si>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</si>
  <si>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</si>
  <si>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</si>
  <si>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</si>
  <si>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</si>
  <si>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</si>
  <si>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</si>
  <si>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</si>
  <si>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</si>
  <si>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APORTES, RETENC. RECARGOS y REC.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</si>
  <si>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</si>
  <si>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</si>
  <si>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</si>
  <si>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</si>
  <si>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</si>
  <si>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</si>
  <si>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</si>
  <si>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</si>
  <si>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</si>
  <si>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</si>
  <si>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</si>
  <si>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</si>
  <si>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</si>
  <si>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</si>
  <si>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</si>
  <si>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</si>
  <si>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</si>
  <si>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</si>
  <si>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</si>
  <si>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</si>
  <si>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</si>
  <si>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</si>
  <si>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</si>
  <si>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</si>
  <si>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</si>
  <si>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</si>
  <si>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</si>
  <si>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</si>
  <si>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</si>
  <si>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</si>
  <si>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</si>
  <si>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</si>
  <si>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</si>
  <si>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</si>
  <si>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</si>
  <si>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</si>
  <si>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</si>
  <si>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</si>
  <si>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</si>
  <si>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</si>
  <si>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</si>
  <si>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</si>
  <si>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</si>
  <si>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</si>
  <si>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</si>
  <si>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</si>
  <si>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</si>
  <si>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</si>
  <si>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MARCOS ANGEL VASQUEZ VALENTIN</t>
  </si>
  <si>
    <t>COMPRA DE TERRENO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</si>
  <si>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</si>
  <si>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</si>
  <si>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</si>
  <si>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</si>
  <si>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</si>
  <si>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</si>
  <si>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</si>
  <si>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</si>
  <si>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</si>
  <si>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</si>
  <si>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</si>
  <si>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</si>
  <si>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</si>
  <si>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</si>
  <si>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</si>
  <si>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</si>
  <si>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</si>
  <si>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</si>
  <si>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</si>
  <si>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</si>
  <si>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</si>
  <si>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</si>
  <si>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</si>
  <si>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</si>
  <si>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</si>
  <si>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</si>
  <si>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</si>
  <si>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</si>
  <si>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</si>
  <si>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</si>
  <si>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</si>
  <si>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</si>
  <si>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</si>
  <si>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</si>
  <si>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</si>
  <si>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</si>
  <si>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</si>
  <si>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</si>
  <si>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</si>
  <si>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</si>
  <si>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</si>
  <si>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</si>
  <si>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</si>
  <si>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</si>
  <si>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</si>
  <si>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</si>
  <si>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</si>
  <si>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</si>
  <si>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</si>
  <si>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</si>
  <si>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</si>
  <si>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</si>
  <si>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</si>
  <si>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</si>
  <si>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</si>
  <si>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</si>
  <si>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</si>
  <si>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</si>
  <si>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</si>
  <si>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</si>
  <si>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</si>
  <si>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</si>
  <si>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</si>
  <si>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</si>
  <si>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</si>
  <si>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</si>
  <si>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</si>
  <si>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</si>
  <si>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</si>
  <si>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</si>
  <si>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</si>
  <si>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</si>
  <si>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</si>
  <si>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</si>
  <si>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</si>
  <si>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</si>
  <si>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</si>
  <si>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</si>
  <si>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</si>
  <si>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</si>
  <si>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</si>
  <si>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</si>
  <si>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</si>
  <si>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</si>
  <si>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</si>
  <si>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</si>
  <si>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</si>
  <si>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</si>
  <si>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</si>
  <si>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</si>
  <si>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</si>
  <si>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</si>
  <si>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</si>
  <si>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</si>
  <si>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SEGUROS BANRESERVAS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</si>
  <si>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</si>
  <si>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</si>
  <si>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</si>
  <si>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</si>
  <si>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</si>
  <si>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</si>
  <si>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</si>
  <si>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</si>
  <si>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</si>
  <si>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</si>
  <si>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</si>
  <si>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</si>
  <si>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</si>
  <si>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</si>
  <si>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</si>
  <si>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</si>
  <si>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</si>
  <si>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</si>
  <si>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</si>
  <si>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</si>
  <si>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</si>
  <si>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</si>
  <si>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</si>
  <si>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</si>
  <si>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</si>
  <si>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</si>
  <si>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</si>
  <si>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</si>
  <si>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</si>
  <si>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</si>
  <si>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</si>
  <si>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</si>
  <si>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</si>
  <si>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</si>
  <si>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</si>
  <si>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</si>
  <si>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</si>
  <si>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</si>
  <si>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</si>
  <si>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</si>
  <si>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</si>
  <si>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</si>
  <si>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</si>
  <si>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</si>
  <si>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</si>
  <si>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</si>
  <si>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</si>
  <si>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</si>
  <si>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</si>
  <si>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</si>
  <si>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</si>
  <si>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</si>
  <si>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</si>
  <si>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</si>
  <si>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</si>
  <si>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</si>
  <si>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</si>
  <si>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</si>
  <si>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</si>
  <si>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</si>
  <si>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</si>
  <si>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</si>
  <si>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</si>
  <si>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</si>
  <si>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</si>
  <si>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</si>
  <si>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</si>
  <si>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</si>
  <si>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</si>
  <si>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</si>
  <si>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</si>
  <si>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</si>
  <si>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</si>
  <si>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</si>
  <si>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</si>
  <si>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</si>
  <si>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</si>
  <si>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</si>
  <si>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</si>
  <si>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</si>
  <si>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</si>
  <si>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</si>
  <si>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</si>
  <si>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</si>
  <si>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</si>
  <si>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</si>
  <si>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</si>
  <si>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</si>
  <si>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</si>
  <si>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</si>
  <si>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</si>
  <si>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</si>
  <si>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</si>
  <si>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</si>
  <si>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BCEDIC12</t>
  </si>
  <si>
    <t>FT-DIC-2014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</si>
  <si>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</si>
  <si>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</si>
  <si>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</si>
  <si>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</si>
  <si>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</si>
  <si>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</si>
  <si>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</si>
  <si>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</si>
  <si>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</si>
  <si>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</si>
  <si>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</si>
  <si>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</si>
  <si>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</si>
  <si>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</si>
  <si>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</si>
  <si>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</si>
  <si>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</si>
  <si>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</si>
  <si>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</si>
  <si>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</si>
  <si>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</si>
  <si>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</si>
  <si>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</si>
  <si>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</si>
  <si>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</si>
  <si>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</si>
  <si>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</si>
  <si>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</si>
  <si>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</si>
  <si>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</si>
  <si>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</si>
  <si>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</si>
  <si>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</si>
  <si>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</si>
  <si>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</si>
  <si>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</si>
  <si>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</si>
  <si>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</si>
  <si>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</si>
  <si>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</si>
  <si>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</si>
  <si>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</si>
  <si>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</si>
  <si>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</si>
  <si>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</si>
  <si>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</si>
  <si>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</si>
  <si>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</si>
  <si>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</si>
  <si>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</si>
  <si>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</si>
  <si>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</si>
  <si>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</si>
  <si>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</si>
  <si>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</si>
  <si>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</si>
  <si>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</si>
  <si>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</si>
  <si>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</si>
  <si>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</si>
  <si>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</si>
  <si>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</si>
  <si>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</si>
  <si>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</si>
  <si>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</si>
  <si>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</si>
  <si>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</si>
  <si>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</si>
  <si>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</si>
  <si>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</si>
  <si>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</si>
  <si>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</si>
  <si>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</si>
  <si>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</si>
  <si>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</si>
  <si>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</si>
  <si>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</si>
  <si>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</si>
  <si>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</si>
  <si>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</si>
  <si>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</si>
  <si>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</si>
  <si>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</si>
  <si>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</si>
  <si>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</si>
  <si>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</si>
  <si>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</si>
  <si>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</si>
  <si>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</si>
  <si>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</si>
  <si>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</si>
  <si>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</si>
  <si>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</si>
  <si>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</si>
  <si>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</si>
  <si>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</si>
  <si>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</si>
  <si>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</si>
  <si>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</si>
  <si>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</si>
  <si>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</si>
  <si>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</si>
  <si>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</si>
  <si>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</si>
  <si>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</si>
  <si>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</si>
  <si>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</si>
  <si>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</si>
  <si>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</si>
  <si>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</si>
  <si>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</si>
  <si>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</si>
  <si>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</si>
  <si>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</si>
  <si>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</si>
  <si>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</si>
  <si>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</si>
  <si>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</si>
  <si>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</si>
  <si>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</si>
  <si>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</si>
  <si>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</si>
  <si>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</si>
  <si>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</si>
  <si>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</si>
  <si>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</si>
  <si>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</si>
  <si>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</si>
  <si>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</si>
  <si>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</si>
  <si>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</si>
  <si>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</si>
  <si>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</si>
  <si>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</si>
  <si>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</si>
  <si>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</si>
  <si>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</si>
  <si>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</si>
  <si>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</si>
  <si>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</si>
  <si>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</si>
  <si>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</si>
  <si>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</si>
  <si>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</si>
  <si>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</si>
  <si>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</si>
  <si>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</si>
  <si>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</si>
  <si>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</si>
  <si>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</si>
  <si>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</si>
  <si>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</si>
  <si>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CLARO / COMPAÑIA DOMINICANA DE TELEFEONOS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</si>
  <si>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</si>
  <si>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</si>
  <si>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</si>
  <si>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</si>
  <si>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</si>
  <si>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</si>
  <si>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</si>
  <si>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</si>
  <si>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</si>
  <si>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</si>
  <si>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</si>
  <si>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</si>
  <si>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</si>
  <si>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</si>
  <si>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</si>
  <si>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</si>
  <si>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</si>
  <si>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</si>
  <si>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</si>
  <si>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</si>
  <si>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</si>
  <si>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B1500000086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</si>
  <si>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</si>
  <si>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</si>
  <si>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</si>
  <si>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</si>
  <si>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</si>
  <si>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</si>
  <si>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</si>
  <si>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</si>
  <si>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</si>
  <si>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</si>
  <si>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</si>
  <si>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</si>
  <si>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</si>
  <si>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</si>
  <si>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</si>
  <si>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</si>
  <si>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</si>
  <si>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</si>
  <si>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</si>
  <si>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</si>
  <si>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</si>
  <si>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</si>
  <si>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</si>
  <si>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</si>
  <si>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</si>
  <si>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</si>
  <si>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</si>
  <si>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</si>
  <si>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</si>
  <si>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</si>
  <si>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</si>
  <si>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</si>
  <si>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</si>
  <si>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</si>
  <si>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</si>
  <si>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</si>
  <si>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</si>
  <si>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</si>
  <si>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</si>
  <si>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</si>
  <si>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</si>
  <si>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</si>
  <si>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</si>
  <si>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</si>
  <si>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</si>
  <si>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</si>
  <si>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</si>
  <si>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</si>
  <si>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</si>
  <si>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</si>
  <si>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</si>
  <si>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</si>
  <si>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</si>
  <si>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</si>
  <si>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</si>
  <si>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</si>
  <si>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</si>
  <si>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</si>
  <si>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</si>
  <si>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</si>
  <si>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</si>
  <si>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</si>
  <si>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</si>
  <si>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</si>
  <si>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</si>
  <si>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</si>
  <si>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</si>
  <si>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</si>
  <si>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</si>
  <si>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</si>
  <si>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</si>
  <si>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</si>
  <si>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</si>
  <si>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</si>
  <si>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</si>
  <si>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</si>
  <si>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</si>
  <si>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</si>
  <si>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</si>
  <si>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</si>
  <si>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</si>
  <si>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</si>
  <si>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</si>
  <si>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</si>
  <si>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</si>
  <si>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</si>
  <si>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</si>
  <si>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AYUNTAMIENTO SANTO DOMINGO OESTE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</si>
  <si>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</si>
  <si>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</si>
  <si>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</si>
  <si>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</si>
  <si>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</si>
  <si>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</si>
  <si>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B1500001001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</si>
  <si>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</si>
  <si>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</si>
  <si>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</si>
  <si>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</si>
  <si>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</si>
  <si>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</si>
  <si>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</si>
  <si>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</si>
  <si>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</si>
  <si>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</si>
  <si>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</si>
  <si>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</si>
  <si>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</si>
  <si>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</si>
  <si>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</si>
  <si>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</si>
  <si>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</si>
  <si>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</si>
  <si>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</si>
  <si>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</si>
  <si>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</si>
  <si>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</si>
  <si>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</si>
  <si>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</si>
  <si>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</si>
  <si>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</si>
  <si>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</si>
  <si>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</si>
  <si>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</si>
  <si>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</si>
  <si>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</si>
  <si>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</si>
  <si>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</si>
  <si>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</si>
  <si>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</si>
  <si>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</si>
  <si>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</si>
  <si>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</si>
  <si>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</si>
  <si>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</si>
  <si>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TSS-2012-05</t>
  </si>
  <si>
    <t>TSS-2012-06</t>
  </si>
  <si>
    <t>TSS-2012-07</t>
  </si>
  <si>
    <t>TSS-2012-08</t>
  </si>
  <si>
    <t>TSS-2012-10</t>
  </si>
  <si>
    <t>TSS-2012-11</t>
  </si>
  <si>
    <t>TSS-2012-12</t>
  </si>
  <si>
    <t>TSS-2013-01</t>
  </si>
  <si>
    <t>TSS-2013-02</t>
  </si>
  <si>
    <t>TSS-2013-03</t>
  </si>
  <si>
    <t>TSS-2013-04</t>
  </si>
  <si>
    <t>TSS-2013-05</t>
  </si>
  <si>
    <t>TSS-2013-06</t>
  </si>
  <si>
    <t>TSS-2013-07</t>
  </si>
  <si>
    <t>TSS-2013-08</t>
  </si>
  <si>
    <t>TSS-2013-09</t>
  </si>
  <si>
    <t>TSS-2013-10</t>
  </si>
  <si>
    <t>TSS-2013-11</t>
  </si>
  <si>
    <t>TSS-2013-12</t>
  </si>
  <si>
    <t>TSS-2014-01</t>
  </si>
  <si>
    <t>TSS-2014-02</t>
  </si>
  <si>
    <t>TSS-2014-03</t>
  </si>
  <si>
    <t>TSS-2014-04</t>
  </si>
  <si>
    <t>TSS-2014-05</t>
  </si>
  <si>
    <t>TSS-2014-06</t>
  </si>
  <si>
    <t>TSS-2014-07</t>
  </si>
  <si>
    <t>TSS-2014-08</t>
  </si>
  <si>
    <t>TSS-2014-09</t>
  </si>
  <si>
    <t>TSS-2014-10</t>
  </si>
  <si>
    <t>TSS-2014-11</t>
  </si>
  <si>
    <t>TSS-2014-12</t>
  </si>
  <si>
    <t>TSS-2015-01</t>
  </si>
  <si>
    <t>TSS-2015-02</t>
  </si>
  <si>
    <t>TSS-2015-03</t>
  </si>
  <si>
    <t>TSS-2015-04</t>
  </si>
  <si>
    <t>TSS-2015-05</t>
  </si>
  <si>
    <t>TSS-2015-06</t>
  </si>
  <si>
    <t>TSS-2015-07</t>
  </si>
  <si>
    <t>TSS-2015-08</t>
  </si>
  <si>
    <t>TSS-2015-09</t>
  </si>
  <si>
    <t>TSS-2015-10</t>
  </si>
  <si>
    <t>TSS-2015-11</t>
  </si>
  <si>
    <t>TSS-2015-12</t>
  </si>
  <si>
    <t>TSS-2016-01</t>
  </si>
  <si>
    <t>TSS-2016-02</t>
  </si>
  <si>
    <t>TSS-2016-03</t>
  </si>
  <si>
    <t>TSS-2016-04</t>
  </si>
  <si>
    <t>TSS-2016-05</t>
  </si>
  <si>
    <t>TSS-2016-06</t>
  </si>
  <si>
    <t>TSS-2016-07</t>
  </si>
  <si>
    <t>TSS-2016-08</t>
  </si>
  <si>
    <t>TSS-2016-09</t>
  </si>
  <si>
    <t>TSS-2016-10</t>
  </si>
  <si>
    <t>TSS-2016-11</t>
  </si>
  <si>
    <t>TSS-2016-12</t>
  </si>
  <si>
    <t>TSS-2017-01</t>
  </si>
  <si>
    <t>TSS-2017-02</t>
  </si>
  <si>
    <t>TSS-2017-03</t>
  </si>
  <si>
    <t>TSS-2017-04</t>
  </si>
  <si>
    <t>TSS-2017-05</t>
  </si>
  <si>
    <t>TSS-2017-06</t>
  </si>
  <si>
    <t>TSS-2017-07</t>
  </si>
  <si>
    <t>TSS-2017-08</t>
  </si>
  <si>
    <t>TSS-2017-10</t>
  </si>
  <si>
    <t>TSS-2017-11</t>
  </si>
  <si>
    <t>TSS-2017-12</t>
  </si>
  <si>
    <t>TSS-2018-01</t>
  </si>
  <si>
    <t>TSS-2018-02</t>
  </si>
  <si>
    <t>TSS-2018-03</t>
  </si>
  <si>
    <t>TSS-2018-04</t>
  </si>
  <si>
    <t>TSS-2018-05</t>
  </si>
  <si>
    <t>TSS-2018-06</t>
  </si>
  <si>
    <t>TSS-2018-07</t>
  </si>
  <si>
    <t>TSS-2018-08</t>
  </si>
  <si>
    <t>TSS-2018-09</t>
  </si>
  <si>
    <t>TSS-2018-10</t>
  </si>
  <si>
    <t>TSS-2018-11</t>
  </si>
  <si>
    <t>TSS-2018-12</t>
  </si>
  <si>
    <t>TSS-2019-01</t>
  </si>
  <si>
    <t>TSS-2019-02</t>
  </si>
  <si>
    <t>TSS-2019-03</t>
  </si>
  <si>
    <t>TSS-2019-04</t>
  </si>
  <si>
    <t>TSS-2019-05</t>
  </si>
  <si>
    <t>TSS-2019-06</t>
  </si>
  <si>
    <t>TSS-2019-07</t>
  </si>
  <si>
    <t>TSS-2019-08</t>
  </si>
  <si>
    <t>TSS-2019-09</t>
  </si>
  <si>
    <t>TSS-2019-10</t>
  </si>
  <si>
    <t>TSS-2019-11</t>
  </si>
  <si>
    <t>TSS-2019-12</t>
  </si>
  <si>
    <t>TSS-2020-01</t>
  </si>
  <si>
    <t>TSS-2020-02</t>
  </si>
  <si>
    <t>TSS-2020-03</t>
  </si>
  <si>
    <t>31/03/2020</t>
  </si>
  <si>
    <t>RET-03-2020</t>
  </si>
  <si>
    <t>RETENC. MARZO 2020</t>
  </si>
  <si>
    <t>25/03/2020</t>
  </si>
  <si>
    <t>RETENCIONES MARZO  2020</t>
  </si>
  <si>
    <t>TSS-2020-04</t>
  </si>
  <si>
    <t>30/04/2020</t>
  </si>
  <si>
    <t>RETENC. ABRIL 2020</t>
  </si>
  <si>
    <t>25/04/2020</t>
  </si>
  <si>
    <t>RET-04-2020</t>
  </si>
  <si>
    <t>RETENCIONES ABRIL  2020</t>
  </si>
  <si>
    <t>TSS-2020-05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</si>
  <si>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</si>
  <si>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</si>
  <si>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</si>
  <si>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</si>
  <si>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</si>
  <si>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</si>
  <si>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TSS-2020-06</t>
  </si>
  <si>
    <t>TSS-2020-07</t>
  </si>
  <si>
    <t>RET-07-2020</t>
  </si>
  <si>
    <t>ASOCIACION DE SERVIDORES PUBLICOS INESPRE</t>
  </si>
  <si>
    <t>RETENCIONES PERSONAL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</si>
  <si>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</si>
  <si>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</si>
  <si>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</si>
  <si>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</si>
  <si>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</si>
  <si>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</si>
  <si>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TSS-2012-09</t>
  </si>
  <si>
    <t>VICTORIA'S BAR &amp; GRILL RESTAURANTE, S. R. L .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</si>
  <si>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</si>
  <si>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</si>
  <si>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</si>
  <si>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</si>
  <si>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</si>
  <si>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</si>
  <si>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</si>
  <si>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</si>
  <si>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</si>
  <si>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</si>
  <si>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>PORTO PERLA INVERSIONES, S. R. L.</t>
  </si>
  <si>
    <t>COMERCIAL CODI, S. R. L.</t>
  </si>
  <si>
    <t>31/03/2021</t>
  </si>
  <si>
    <t>EFICIENCIA COMUNICACIONAL, SRL</t>
  </si>
  <si>
    <t>16/03/2021</t>
  </si>
  <si>
    <t>NOTICIAS AL MOMENTO, S. R. L..</t>
  </si>
  <si>
    <t>B1500000013</t>
  </si>
  <si>
    <t xml:space="preserve">SIALTA SRL                               </t>
  </si>
  <si>
    <t>15/04/2021</t>
  </si>
  <si>
    <t>B1500003394</t>
  </si>
  <si>
    <t>APD202103</t>
  </si>
  <si>
    <t>30/04/2021</t>
  </si>
  <si>
    <t>B1500000047</t>
  </si>
  <si>
    <t>B1500000015</t>
  </si>
  <si>
    <t>B1500000016</t>
  </si>
  <si>
    <t>B1500000017</t>
  </si>
  <si>
    <t>B1500000018</t>
  </si>
  <si>
    <t>23/02/2021</t>
  </si>
  <si>
    <t>24/03/2021</t>
  </si>
  <si>
    <t>PROCESADORA DE LECHE OLEAGA</t>
  </si>
  <si>
    <t>B1500000043</t>
  </si>
  <si>
    <t>B1500000044</t>
  </si>
  <si>
    <t>CARABALLO SUAREZ, HONATAN JAVIER</t>
  </si>
  <si>
    <t>B1500000053</t>
  </si>
  <si>
    <t xml:space="preserve">ANVIEL EVENT DESIGNERS EIRL              </t>
  </si>
  <si>
    <t xml:space="preserve">GRUPO EDITORIAL GALA SRL                 </t>
  </si>
  <si>
    <t xml:space="preserve">JUNIOR NORBERTO MARTE MARTINEZ           </t>
  </si>
  <si>
    <t xml:space="preserve">LUIS RAFAEL SANTANA SANTANA              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</si>
  <si>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</si>
  <si>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</si>
  <si>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</si>
  <si>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</si>
  <si>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</si>
  <si>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</si>
  <si>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B1500000157</t>
  </si>
  <si>
    <t>L &amp; D TRANSPORTE, S. R. L.</t>
  </si>
  <si>
    <t>B1500000357</t>
  </si>
  <si>
    <t xml:space="preserve">M &amp; N COCINA CATERING SRL                  </t>
  </si>
  <si>
    <t>B1500000061</t>
  </si>
  <si>
    <t>B1500000628</t>
  </si>
  <si>
    <t>B1500000021</t>
  </si>
  <si>
    <t>B1500000046</t>
  </si>
  <si>
    <t>B1500000419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</si>
  <si>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</si>
  <si>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</si>
  <si>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</si>
  <si>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</si>
  <si>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</si>
  <si>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</si>
  <si>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</si>
  <si>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</si>
  <si>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</si>
  <si>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</si>
  <si>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</si>
  <si>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RET-06-2021</t>
  </si>
  <si>
    <t>RETENCIONES JUNIO 2021</t>
  </si>
  <si>
    <t>25/06/2021</t>
  </si>
  <si>
    <t>RETENCIONES JUNIO  2021</t>
  </si>
  <si>
    <t xml:space="preserve">PRODUCCIONES BELGICA SUAREZ SRL          </t>
  </si>
  <si>
    <t xml:space="preserve">BIXMORE GLOBAL BUSINESS SRL              </t>
  </si>
  <si>
    <t>B1500000361</t>
  </si>
  <si>
    <t>B1500000362</t>
  </si>
  <si>
    <t>B1500000363</t>
  </si>
  <si>
    <t>20/07/2021</t>
  </si>
  <si>
    <t>B1500000204</t>
  </si>
  <si>
    <t>OTROS ACTIVOS</t>
  </si>
  <si>
    <t>28/7/2021</t>
  </si>
  <si>
    <t>B1500103460</t>
  </si>
  <si>
    <t>B1500103461</t>
  </si>
  <si>
    <t>B1500000109</t>
  </si>
  <si>
    <t>19/07/2021</t>
  </si>
  <si>
    <t>B1500000266</t>
  </si>
  <si>
    <t>MATERIALES Y UTILES DE OFICINA</t>
  </si>
  <si>
    <t>GRILSELDA P. FOX  NURSE</t>
  </si>
  <si>
    <t>20/7/2021</t>
  </si>
  <si>
    <t>B1500000085</t>
  </si>
  <si>
    <t>B1500000220</t>
  </si>
  <si>
    <t>22/7/2021</t>
  </si>
  <si>
    <t>B1500000550</t>
  </si>
  <si>
    <t>PRADOS DEL CAMPO, S. A.</t>
  </si>
  <si>
    <t>B150000629</t>
  </si>
  <si>
    <t>B1500000200</t>
  </si>
  <si>
    <t>31/07/2021</t>
  </si>
  <si>
    <t>RETENC. JULIO 2021</t>
  </si>
  <si>
    <t>RET-07-2021</t>
  </si>
  <si>
    <t>RETENCIONES JULIO 2021</t>
  </si>
  <si>
    <t>25/7/2021</t>
  </si>
  <si>
    <t>RETENCIONES JULIO  2021</t>
  </si>
  <si>
    <t>25/07/2021</t>
  </si>
  <si>
    <t>B1500000160</t>
  </si>
  <si>
    <t>B1500000162</t>
  </si>
  <si>
    <t>B1500000164</t>
  </si>
  <si>
    <t>B1500000165</t>
  </si>
  <si>
    <t xml:space="preserve">SUPERALBA SRL                            </t>
  </si>
  <si>
    <t xml:space="preserve">ISLA DOMINICANA DE PETROLEO CORPORATION  </t>
  </si>
  <si>
    <t xml:space="preserve">KRAKOW QUALITY MULTI SERVICES SRL        </t>
  </si>
  <si>
    <t xml:space="preserve">INVERSIONES FAMOVA EIRL                  </t>
  </si>
  <si>
    <t xml:space="preserve">EMPRESAS INTEGRADAS S A S                </t>
  </si>
  <si>
    <t xml:space="preserve">ARIAS MOTORS SA                          </t>
  </si>
  <si>
    <t xml:space="preserve">GLOBAL SOCIAL MEDIA GROUP GSMG SRL       </t>
  </si>
  <si>
    <t xml:space="preserve">AGENDA GLOBAL SRL                        </t>
  </si>
  <si>
    <t xml:space="preserve">LINCOLN S ROAD                           </t>
  </si>
  <si>
    <t xml:space="preserve">GLOBAL INVEST DOMINICANA J A SRL         </t>
  </si>
  <si>
    <t xml:space="preserve">LUIS MANUEL BAEZ AMESQUITA               </t>
  </si>
  <si>
    <t xml:space="preserve">FRIAS PUELLO FRANLYN DARIO               </t>
  </si>
  <si>
    <t>ACTUALIDADES VD, S. R. L.</t>
  </si>
  <si>
    <t>B1500000720</t>
  </si>
  <si>
    <t>ACTIVOS FIJOS</t>
  </si>
  <si>
    <t>B1500000150</t>
  </si>
  <si>
    <t>ALTAGRACIA CARRASCO EVENTOS, S. R. L.</t>
  </si>
  <si>
    <t>B1500000276</t>
  </si>
  <si>
    <t>B1500000277</t>
  </si>
  <si>
    <t>23/08/2021</t>
  </si>
  <si>
    <t>20/08/2021</t>
  </si>
  <si>
    <t>18/08/2021</t>
  </si>
  <si>
    <t>B1500000254</t>
  </si>
  <si>
    <t>CENTRO DOMINICANO DE TECNOLOGIA CIENTIFICA</t>
  </si>
  <si>
    <t>13/08/2021</t>
  </si>
  <si>
    <t>COMPRA DE ACTIVO</t>
  </si>
  <si>
    <t>28/08/2021</t>
  </si>
  <si>
    <t>B1500106017</t>
  </si>
  <si>
    <t>B1500106018</t>
  </si>
  <si>
    <t>B1500000112</t>
  </si>
  <si>
    <t>CORPORACION COPYCORP, S. A.</t>
  </si>
  <si>
    <t>B1500000527</t>
  </si>
  <si>
    <t xml:space="preserve">DARIO PAREDES </t>
  </si>
  <si>
    <t>B1500000420</t>
  </si>
  <si>
    <t>B1500000421</t>
  </si>
  <si>
    <t>17/08/2021</t>
  </si>
  <si>
    <t>B1500000467</t>
  </si>
  <si>
    <t>B1500000122</t>
  </si>
  <si>
    <t>B1500000123</t>
  </si>
  <si>
    <t>B1500000124</t>
  </si>
  <si>
    <t>B1500000125</t>
  </si>
  <si>
    <t>B1500000094</t>
  </si>
  <si>
    <t>B1500066818</t>
  </si>
  <si>
    <t>B1500000282</t>
  </si>
  <si>
    <t>B1500000045</t>
  </si>
  <si>
    <t>B1500000048</t>
  </si>
  <si>
    <t>B1500000558</t>
  </si>
  <si>
    <t>B1500000354</t>
  </si>
  <si>
    <t>B1500000026</t>
  </si>
  <si>
    <t>B1500000270</t>
  </si>
  <si>
    <t>B1500000272</t>
  </si>
  <si>
    <t>B1500000271</t>
  </si>
  <si>
    <t>25/08/2021</t>
  </si>
  <si>
    <t>TSS-2021-08</t>
  </si>
  <si>
    <t xml:space="preserve">SUINSA SUPLIDORA INSTITUCIONAL SSI SRL   </t>
  </si>
  <si>
    <t>27/08/2021</t>
  </si>
  <si>
    <t>UNIFORME PARA PERSONAL</t>
  </si>
  <si>
    <t>JERAM INVESTMENT, S. R. L.</t>
  </si>
  <si>
    <t>26/08/2021</t>
  </si>
  <si>
    <t>RET-08-2021</t>
  </si>
  <si>
    <t>28/04/2021</t>
  </si>
  <si>
    <t>31/08/2021</t>
  </si>
  <si>
    <t>RETENCIONES AGOSTO 2021</t>
  </si>
  <si>
    <t>RETENCIONES AGOSTO  2021</t>
  </si>
  <si>
    <t>RETENC. AGOSTO 2021</t>
  </si>
  <si>
    <t>FECHA FIN FACTURA</t>
  </si>
  <si>
    <t>MONTO PAGADO</t>
  </si>
  <si>
    <t>MONTO PENDIENTE</t>
  </si>
  <si>
    <t>ESTADO</t>
  </si>
  <si>
    <t>PENDIENTE</t>
  </si>
  <si>
    <t>LIBRO BANCO</t>
  </si>
  <si>
    <t>BANCO DE RESERVAS DE LA REPUBLICA DOMINICANA</t>
  </si>
  <si>
    <t>DEL 1 AL 31 DE AGOSTO 2021</t>
  </si>
  <si>
    <t>Cuenta Bancaria No. 240-010599-0</t>
  </si>
  <si>
    <t xml:space="preserve">BALANCE INICIAL : </t>
  </si>
  <si>
    <t>FECHA</t>
  </si>
  <si>
    <t>No. CK / TRANSF</t>
  </si>
  <si>
    <t>DESCRIPCION</t>
  </si>
  <si>
    <t>DEBITO</t>
  </si>
  <si>
    <t>CREDITO</t>
  </si>
  <si>
    <t>BALANCE</t>
  </si>
  <si>
    <t>DEPOSITO</t>
  </si>
  <si>
    <t>BANCO DE RESERVAS / DEVOLUCION CHEQUE DUPLICADO</t>
  </si>
  <si>
    <t>ANVIEL EVENT DESIGNERS, EIRL.</t>
  </si>
  <si>
    <t>IBIS MARUN CORDERO</t>
  </si>
  <si>
    <t>IVAN ERNESTO DURAN NUÑEZ</t>
  </si>
  <si>
    <t>ANA MERCEDES VENTURA MENA</t>
  </si>
  <si>
    <t>CLAMAR DOMINICANA, SRL.</t>
  </si>
  <si>
    <t>JOSE LUIS MARTINEZ</t>
  </si>
  <si>
    <t>MARIA ALTAGRACIA RAMIREZ CORONADO</t>
  </si>
  <si>
    <t>JOSE MANUEL RODRIGUEZ LOPEZ</t>
  </si>
  <si>
    <t>BERKIS PIMENTEL ARIAS</t>
  </si>
  <si>
    <t>MIRIAN FANIA DE LOS SANTOS CABRERA</t>
  </si>
  <si>
    <t>ANTONIO ABAD GOMEZ MELLA</t>
  </si>
  <si>
    <t>REIMUNDA CORDERO ZORRILLA</t>
  </si>
  <si>
    <t>JOSE RAMON ROJAS ROJAS</t>
  </si>
  <si>
    <t>PREMIUM TECH, SRL.</t>
  </si>
  <si>
    <t>NELSON BOLIVAR PEREZ SANCHEZ</t>
  </si>
  <si>
    <t>JOSE ANTONIO ESPINO PICHARDO</t>
  </si>
  <si>
    <t>WILLIAN ISMAEL MOTA MOTA</t>
  </si>
  <si>
    <t>JOSE ANTONIO VENTURA PEÑA</t>
  </si>
  <si>
    <t>JOSE MIGUEL ESTEVEZ REYES</t>
  </si>
  <si>
    <t>M &amp; N FIESTA &amp; DECORACIONES, SRL.</t>
  </si>
  <si>
    <t>PLA, SRL.</t>
  </si>
  <si>
    <t>M&amp;N COCINA CATERING, S.R.L.</t>
  </si>
  <si>
    <t>AMARAM ENTERPRISE, SRL.</t>
  </si>
  <si>
    <t>MADEIS CARIBBEAN, SRL.</t>
  </si>
  <si>
    <t>AURELIO MARIA HERNANDEZ MARTINEZ</t>
  </si>
  <si>
    <t>SANTA CRISTINA SANCHEZ</t>
  </si>
  <si>
    <t>MARIA ALTAGRACIA SENA DE PEREZ</t>
  </si>
  <si>
    <t>SONIA MERCEDES GARCIA SANTOS</t>
  </si>
  <si>
    <t>CARLOS MANUEL SEVERINO INOA</t>
  </si>
  <si>
    <t>FERMINA FIGUEROA</t>
  </si>
  <si>
    <t>ISLA DOMINICANA DE PETROLEO CORPORATION</t>
  </si>
  <si>
    <t>JUAN FRANCISCO MENDEZ SANCHEZ</t>
  </si>
  <si>
    <t>ALEXANDER TRINIDAD REYES</t>
  </si>
  <si>
    <t>SILIXTO ENCARNACION CIPION</t>
  </si>
  <si>
    <t>PRO GESTION GLOBAL, SRL</t>
  </si>
  <si>
    <t>TONOS &amp; COLORES, SRL.</t>
  </si>
  <si>
    <t>FLORDALISA ROSARIO</t>
  </si>
  <si>
    <t>TRANSPORTE VIRAMICA SRL.</t>
  </si>
  <si>
    <t>ANGELA MARIA SALDAÑA</t>
  </si>
  <si>
    <t>INSTITUTO DE ESTABILIZACION DE PRECIOS INESPRE</t>
  </si>
  <si>
    <t xml:space="preserve">INSTITUTO DE ESTABILIZACION DE PRECIOS </t>
  </si>
  <si>
    <t>GLOBAL SOCIAL MEDIA GROUP GSMG, S.R.L.</t>
  </si>
  <si>
    <t>DIPUGLIA PC OUTLET STORE, S.R.L.</t>
  </si>
  <si>
    <t>ANA ESTHER BAEZ TAVERAS</t>
  </si>
  <si>
    <t>ESPERANZA MARTINEZ</t>
  </si>
  <si>
    <t>CAROLINA RAMIREZ DE LOS SANTOS</t>
  </si>
  <si>
    <t>CORPORACION COPYCORP RD, S,A.</t>
  </si>
  <si>
    <t>CARMEN LUISA BRUNO PIMENTEL</t>
  </si>
  <si>
    <t>INVERSIONES REINY, SRL</t>
  </si>
  <si>
    <t>RAMONA CABRERA MATEO</t>
  </si>
  <si>
    <t>NAZARET DE LA CRUZ VILLA</t>
  </si>
  <si>
    <t>NURYS ALTAGRACIA ALCANTARA CASADO</t>
  </si>
  <si>
    <t>DANIEL SANCHEZ</t>
  </si>
  <si>
    <t>FELIX PADILLA CASTELLANOS</t>
  </si>
  <si>
    <t>CLEOTILDE DEL CARMEN PERALTA</t>
  </si>
  <si>
    <t>CANDIDO PALERMO SORIANO ALVAREZ</t>
  </si>
  <si>
    <t>HUMANO SEGUROS , S.A</t>
  </si>
  <si>
    <t>TIANY JOSEFINA ESPAILLAT FLETE</t>
  </si>
  <si>
    <t>AYUNTAMIENTO DEL MUNICIPIO DE SANTIAGO</t>
  </si>
  <si>
    <t>NOEL  ABREU FAJARDO</t>
  </si>
  <si>
    <t>NELSON ANTONIO LOPEZ CRUZ</t>
  </si>
  <si>
    <t>ARMANDO CESPEDES ZORRILLA</t>
  </si>
  <si>
    <t>ANGELA MARIA ESTEVEZ MANZANO</t>
  </si>
  <si>
    <t>SUPLIDORA INDUSTRIAL DOMINICANA, SRL.</t>
  </si>
  <si>
    <t>ALEXANDER ZORRILLA</t>
  </si>
  <si>
    <t>V ENERGY, S,A.</t>
  </si>
  <si>
    <t>SAVANT CONSULTORES, SRL.</t>
  </si>
  <si>
    <t>SERVISEPTICOS, S.R.L.</t>
  </si>
  <si>
    <t>INVERSIONES MULTIPLES A&amp;H, SRL.</t>
  </si>
  <si>
    <t>RAMON ANTONIO ALCANTARA BONILLA</t>
  </si>
  <si>
    <t>EDWAR DE LOS SANTOS VALDEZ</t>
  </si>
  <si>
    <t>ROSA NELIA DE LA CRUZ NUÑEZ</t>
  </si>
  <si>
    <t>ALMA ROMANA REYES GUILLEN</t>
  </si>
  <si>
    <t>SATURNINO PEREZ DE LOS SANTOS</t>
  </si>
  <si>
    <t>CARLOS EDUARDO HENRIQUEZ  RODRIGUEZ</t>
  </si>
  <si>
    <t>MARINO ROSA DE LA CRUZ</t>
  </si>
  <si>
    <t>SENABRI HIRCANIA SILVESTRE CASTRO</t>
  </si>
  <si>
    <t>MAXWELL ARISTOTELES REYES DE LA ROSA</t>
  </si>
  <si>
    <t>VICTOR JOSE MAÑANA ADAMES</t>
  </si>
  <si>
    <t>RUPERTO RUCK JIMENEZ</t>
  </si>
  <si>
    <t>JUNIOR NORBERTO MARTE MARTINEZ</t>
  </si>
  <si>
    <t>JOSE MARIA REYES PEREZ</t>
  </si>
  <si>
    <t>RAFAEL ANTONIO DUVAL MOJICA</t>
  </si>
  <si>
    <t>LUIS RAFAEL SANTANA SANTANA</t>
  </si>
  <si>
    <t>RICARDO ANTONIO RODRIGUEZ ROSA</t>
  </si>
  <si>
    <t>SALUDOS COMUNICACIONES FRIAS</t>
  </si>
  <si>
    <t>HONATAN  JAVIER CARABALLO SUAREZ</t>
  </si>
  <si>
    <t>EFICIENCIA COMUNICACIONAL CPR, SRL.</t>
  </si>
  <si>
    <t>NELSON RAFAEL CEDEÑO ROSA</t>
  </si>
  <si>
    <t>KRAKOW QUALITY MULTISERVICES, SRL.</t>
  </si>
  <si>
    <t>PONCIANO VICENTE VOLQUEZ</t>
  </si>
  <si>
    <t>ODRIS MARLENIS DE LOS SANTOS GOMEZ</t>
  </si>
  <si>
    <t>COLECTOR DE IMPUESTOS INTERNOS</t>
  </si>
  <si>
    <t>JULIANA RAMIREZ FLORENTINO</t>
  </si>
  <si>
    <t>RUTA GANADERA, S.R.L.</t>
  </si>
  <si>
    <t>WILKIN AMADOR RODRIGUEZ</t>
  </si>
  <si>
    <t>LOLY REYNOA BEARD DE JAVIER</t>
  </si>
  <si>
    <t>MEDIOPRATV, S.R.L.</t>
  </si>
  <si>
    <t>PRODUCCIONES BELGICA SUAREZ, SRL.</t>
  </si>
  <si>
    <t>SIALTA, S.R.L.</t>
  </si>
  <si>
    <t>GRUPO EDITORIAL GALA SRL</t>
  </si>
  <si>
    <t>GLENYS GUZMAN PEREZ</t>
  </si>
  <si>
    <t>KRISMELY DEL PILAR VILLAFAÑA MINAYA</t>
  </si>
  <si>
    <t>ANA MIRQUEYA BAEZ FELIZ</t>
  </si>
  <si>
    <t>YRIS MARIA GARCIA ALMANZAR</t>
  </si>
  <si>
    <t>NOTICIAS AL MOMENTO, S.R.L.</t>
  </si>
  <si>
    <t>JHOAN LUIS ARIAS PIÑA</t>
  </si>
  <si>
    <t>JORGE ALBERTO RODRIGUEZ</t>
  </si>
  <si>
    <t>PAROSA, SRL</t>
  </si>
  <si>
    <t>MIGUELINA P. MERCEDES FERMIN TEJEDA</t>
  </si>
  <si>
    <t xml:space="preserve">JESUS MARIA POLANCO GUERRERO </t>
  </si>
  <si>
    <t>JOHAN MANUEL FELIZ</t>
  </si>
  <si>
    <t>RAQUEL MENDEZ DE LORA</t>
  </si>
  <si>
    <t>MARISOL ABREU</t>
  </si>
  <si>
    <t>OMAR WILFREDO CASTILLO ROBLES</t>
  </si>
  <si>
    <t>MIGUEL ANTONIO SOLANO CONSTANZO</t>
  </si>
  <si>
    <t>ANTONIO CASTILLO BELTRE</t>
  </si>
  <si>
    <t>ANDREA DE LOS SANTOS M. DE WHITE</t>
  </si>
  <si>
    <t>SDM GROUP, S.R.L.</t>
  </si>
  <si>
    <t>JUAN BELEN</t>
  </si>
  <si>
    <t>URCANIA ELIZABET VALDEZ DE LA CRUZ</t>
  </si>
  <si>
    <t>FERNANDO SEPULVEDA</t>
  </si>
  <si>
    <t>MAURICIO PEREZ</t>
  </si>
  <si>
    <t>FS COMPANY XPRESS, S.R.L.</t>
  </si>
  <si>
    <t>DANIEL ANTONIO CRUZ ABREU</t>
  </si>
  <si>
    <t>JOBANNI RAFAEL JAVIER REYES</t>
  </si>
  <si>
    <t>MILAGROS ALTAGRACIA PAYANO GUTIERREZ</t>
  </si>
  <si>
    <t>LOLO DE LOS SANTOS ALCANTARA</t>
  </si>
  <si>
    <t>RAMONA NUÑEZ LESCALLE</t>
  </si>
  <si>
    <t>BELKIS SUSANA MATOS CALDERON</t>
  </si>
  <si>
    <t>PILAR BUTEN GUZMAN</t>
  </si>
  <si>
    <t>ISMAEL REYES MADRIGAL</t>
  </si>
  <si>
    <t>GISSELL CAROLINA LAUREANO DE DE LA ROSA</t>
  </si>
  <si>
    <t>JEFFRY JESUS SALDIVAR RAMOS</t>
  </si>
  <si>
    <t>JOSE MIGUEL DE LA ROSA AYBAR</t>
  </si>
  <si>
    <t>MARIA CAPELLAN VALDEZ</t>
  </si>
  <si>
    <t>YADHIRA ONANEY CHIRENO ROJAS</t>
  </si>
  <si>
    <t>ARAMELBA GROUP, SRL</t>
  </si>
  <si>
    <t>HIPERCENTRO DE DISTRIBUCION ABMA, S.R.L.</t>
  </si>
  <si>
    <t>SOCRATE ESTEVEZ BENZANT</t>
  </si>
  <si>
    <t>PEDRO MIGUEL CANDELARIO PILAR</t>
  </si>
  <si>
    <t>DIAMELIS MORA ROSARIO</t>
  </si>
  <si>
    <t>YUBERKI  GIL DILONE</t>
  </si>
  <si>
    <t>GARIBARDY SEVERINO ESPINAL SANTANA</t>
  </si>
  <si>
    <t>HENRY JUNIOR BUENO BUENO</t>
  </si>
  <si>
    <t>RAMON EMILIO ESTEVEZ REYES</t>
  </si>
  <si>
    <t>VENTURA MERCEDES BAEZ MOYA</t>
  </si>
  <si>
    <t>LEONELA G. LORENZO</t>
  </si>
  <si>
    <t>EDUARDO RAFAEL FELIZ TAPIA</t>
  </si>
  <si>
    <t>BIENVENIDO JIMENEZ ROSARIO</t>
  </si>
  <si>
    <t>BERNARDITA MARIA TORRES DOMINGUEZ DE SANCHEZ</t>
  </si>
  <si>
    <t>SANTO RAMON GARCIA</t>
  </si>
  <si>
    <t>NELSON JONAS PIMENTEL WHITE</t>
  </si>
  <si>
    <t>ANIBAL ACOSTA DE LA ROSA</t>
  </si>
  <si>
    <t>LUIS CARLOS CARPIO PEREZ</t>
  </si>
  <si>
    <t>HECTOR RHADAMES RODRIGUEZ</t>
  </si>
  <si>
    <t>ANTONIA MARISOL ABREU GARCIA</t>
  </si>
  <si>
    <t>CORPORAC. PARA DESARROLLO  SEGURIDAD Y DEFENSA, SRL</t>
  </si>
  <si>
    <t>YAHAIRA IVELISSE PEREZ MESA</t>
  </si>
  <si>
    <t>CRISTIANA  MARIA CUETO MEJIA</t>
  </si>
  <si>
    <t>RAFAELA MERCEDES GOMEZ JIMENEZ</t>
  </si>
  <si>
    <t>JOSELO MATEO</t>
  </si>
  <si>
    <t>MIGUEL BERROA PEGUERO</t>
  </si>
  <si>
    <t>JOSE JULIO BIDO MEJIA</t>
  </si>
  <si>
    <t>VICTOR FRANCISCO RAMIREZ SANCHEZ</t>
  </si>
  <si>
    <t>EFRAIN GUSTAVO PIMENTEL GARCIA</t>
  </si>
  <si>
    <t>PORTO PERLA INVERSIONES, SRL.</t>
  </si>
  <si>
    <t>HEIDY ROCIO RODRIGUEZ ROSARIO</t>
  </si>
  <si>
    <t>SILVERIO BELTRE MORETA</t>
  </si>
  <si>
    <t>JULIETA LAUREANO</t>
  </si>
  <si>
    <t>CARMEN LERIDA DOMINGA M.</t>
  </si>
  <si>
    <t>LUSECITA MARTE</t>
  </si>
  <si>
    <t>JULIO MANZUETA</t>
  </si>
  <si>
    <t>BRENDA GISSELLE PINALES LOPEZ</t>
  </si>
  <si>
    <t>MEIBI ESPERANZA MATOS MATOS</t>
  </si>
  <si>
    <t>FLORISTERIA ZUNIFLOR S.R.L.</t>
  </si>
  <si>
    <t>MICHEL RUMARDO SALDAÑA</t>
  </si>
  <si>
    <t>YESENIA ESTHER CORNELIO</t>
  </si>
  <si>
    <t>DILORY RIVERA VAZQUEZ</t>
  </si>
  <si>
    <t>ANATILA FRIAS</t>
  </si>
  <si>
    <t>PACHECA MARIEL TEJEDA DAVID</t>
  </si>
  <si>
    <t>CRISTIAN JUNIOR GARCIA EUSEBIO</t>
  </si>
  <si>
    <t>SOLEDAD HERNANDEZ FRIAS DE LOPEZ</t>
  </si>
  <si>
    <t>SOLANYI RAMONA BATISTA HERNANDEZ</t>
  </si>
  <si>
    <t>INVERSIONES SANTIN, SRL</t>
  </si>
  <si>
    <t>ANA GUZMAN CARVAJAL</t>
  </si>
  <si>
    <t>JOSE NICANOR ROSARIO MARTINEZ</t>
  </si>
  <si>
    <t>ROBERTO SANCHEZ DE LA CRUZ</t>
  </si>
  <si>
    <t>JUAN FCO. DE VARGAS GIL</t>
  </si>
  <si>
    <t>JUANA MARIA PEGUERO CONCEPCION</t>
  </si>
  <si>
    <t>SOLUCIONES GLOBALES J.M., S.A.</t>
  </si>
  <si>
    <t>RAUDYS LEONARDO FERNANDEZ RODRIGUEZ</t>
  </si>
  <si>
    <t>ADALMI JESUS TAVERAS ABREU</t>
  </si>
  <si>
    <t>REGOL VALDEZ PIERRE</t>
  </si>
  <si>
    <t>ISOTEX DOMINICANA, S.A.S.</t>
  </si>
  <si>
    <t>CASIMIRO RAFAEL RODRIGUEZ ABREU</t>
  </si>
  <si>
    <t>MANUEL LEONIDAS SOTO SOTO</t>
  </si>
  <si>
    <t>CRISTOPRER PLATA SOSA</t>
  </si>
  <si>
    <t>CRISTINA SANCHEZ GRULLON</t>
  </si>
  <si>
    <t>JENIFFER GARCIA COCA</t>
  </si>
  <si>
    <t>TOMAS ALFREDO AGUIAR CEPEDA</t>
  </si>
  <si>
    <t>ANDERSON RAMIREZ</t>
  </si>
  <si>
    <t>ALTAGRACIA ANTONIA PEREZ LOVERAS</t>
  </si>
  <si>
    <t>SADRAC YEROSCAR JUSTO ARACENA</t>
  </si>
  <si>
    <t>ELVI ABRAHAM MORA ROMERO</t>
  </si>
  <si>
    <t>YUDERKI MARGARITA ALVAREZ MARTINEZ</t>
  </si>
  <si>
    <t>GUSTAVO ADOLFO ROJAS CAMILO</t>
  </si>
  <si>
    <t>HELEN NATHALY LIRANZO LUNA</t>
  </si>
  <si>
    <t>REMIGTON SEPULVEDA MORLA</t>
  </si>
  <si>
    <t>JOSE ALEJANDRO FLORES GONZALEZ</t>
  </si>
  <si>
    <t>MARIA DE LOS SANTOS DE JESUS BORGES LOPEZ</t>
  </si>
  <si>
    <t>LISBETH ALTAGRACIA RINCON SUAZO</t>
  </si>
  <si>
    <t>ERY MIGUEL MOTA ORTEGA</t>
  </si>
  <si>
    <t>IRIS SUJELIN RAMIREZ MEJIA</t>
  </si>
  <si>
    <t>ALTAGRACIA RODRIGUEZ ROBLES DE SANTANA</t>
  </si>
  <si>
    <t>CARMEN ANTONIA RIVERA BAEZ DE LANDRON</t>
  </si>
  <si>
    <t>ELPIDIO ANTONIO NUÑEZ REYES</t>
  </si>
  <si>
    <t>FRANKLIN FLOIRAN JIMENEZ DIAZ</t>
  </si>
  <si>
    <t>ISMIRI RODRIGUEZ SANTOS DE MARTINEZ</t>
  </si>
  <si>
    <t>KEILA AQUINO</t>
  </si>
  <si>
    <t>YULIS GUILLERMINA JIMENEZ MARTINEZ</t>
  </si>
  <si>
    <t>CELESTE RAMIREZ ORTEGA</t>
  </si>
  <si>
    <t>JUAN JAVIEL CARRASCO SUERO</t>
  </si>
  <si>
    <t>WINSTON ALFONSO CAPELLAN CEPEDA</t>
  </si>
  <si>
    <t>GRACILIANA GARCIA</t>
  </si>
  <si>
    <t>ALEJANDRO AREVALO SANCHEZ TORRES</t>
  </si>
  <si>
    <t>IDELSY ADELAIDA CASTILLO GARCIA</t>
  </si>
  <si>
    <t>MAL2 CONTIGO, S.R.L.</t>
  </si>
  <si>
    <t>ALYANI DIAZ MARTINEZ</t>
  </si>
  <si>
    <t>JELTSINA SOFIA SOSA VICTORIO</t>
  </si>
  <si>
    <t>JENNIFER VARGAS GUZMAN</t>
  </si>
  <si>
    <t>LIDIA PARRA NUÑEZ</t>
  </si>
  <si>
    <t>CARLOS BIENVENIDO REINA MORALES</t>
  </si>
  <si>
    <t>ALCIBIADES MOSQUEA PAREDES</t>
  </si>
  <si>
    <t>CARLOS GALVEZ YNIRIO</t>
  </si>
  <si>
    <t>LUCAS PAYANO</t>
  </si>
  <si>
    <t>DORCA DIAZ PEÑA</t>
  </si>
  <si>
    <t>JOSE FRANCISCO ARIAS MOREL</t>
  </si>
  <si>
    <t>SARAH PATRICIA FELIZ BALL</t>
  </si>
  <si>
    <t>ROSELIA ANTONIA PEREZ TORRES</t>
  </si>
  <si>
    <t>CARLOS ANT. BENITEZ A.</t>
  </si>
  <si>
    <t>SANDY ANTONIO CORDONES</t>
  </si>
  <si>
    <t>MANUEL GUZMAN ABAD</t>
  </si>
  <si>
    <t>VICTOR DEL ROSARIO MORENO</t>
  </si>
  <si>
    <t>JOSE MIGUEL MENDEZ ZAYAS</t>
  </si>
  <si>
    <t>REGIN DOMINGO RAMIREZ HERNANDEZ</t>
  </si>
  <si>
    <t>SISSI JOSEFINA RAMONA VASQUEZ REYNOSO</t>
  </si>
  <si>
    <t>SEGURO NACIONAL DE SALUD (SENASA)</t>
  </si>
  <si>
    <t>WILLIAM DE JESUS LEBERATA</t>
  </si>
  <si>
    <t>352-21-370</t>
  </si>
  <si>
    <t>BANCO DE RESERVAS / RECLAMACION</t>
  </si>
  <si>
    <t>EDEESTE</t>
  </si>
  <si>
    <t>DANIA ESTHER MONTERO MONTERO</t>
  </si>
  <si>
    <t>EDESUR DOMINICANA, S.A.</t>
  </si>
  <si>
    <t>TIBURCIO PERDOMO</t>
  </si>
  <si>
    <t>GLORIA ISABEL BOURNIGAL</t>
  </si>
  <si>
    <t>MARTIN MARIANO FIGUEROA</t>
  </si>
  <si>
    <t>MARGARITA AQUINO DE DURAN</t>
  </si>
  <si>
    <t>ISLITA EIRL</t>
  </si>
  <si>
    <t>MARIA DEL ROSARIO GARCIA SALSED</t>
  </si>
  <si>
    <t>MANUEL DE JESUS DIAZ TEJADA</t>
  </si>
  <si>
    <t>M&amp;N FIESTA &amp; DECORACIONES,S.R.L.</t>
  </si>
  <si>
    <t>FEROX SOLUTIONS, SRL.</t>
  </si>
  <si>
    <t>MARTINA HIPOLITA VERAS LANTIGUA</t>
  </si>
  <si>
    <t>MIGUEL DIONICIO TEJADA VARGAS</t>
  </si>
  <si>
    <t>BELKIS BERENICE CASTILLO ROBLES</t>
  </si>
  <si>
    <t>COMPAÑIA DOMINICANA DE TELEFONOS, S.A.</t>
  </si>
  <si>
    <t>GRUPO SUPERALBA, S.R.L.</t>
  </si>
  <si>
    <t>EDENORTE DOMINICANA, S.A.</t>
  </si>
  <si>
    <t>DIONISIO GONZALEZ DE LA CRUZ</t>
  </si>
  <si>
    <t>JOSE WINSTON MEJIA VASQUEZ</t>
  </si>
  <si>
    <t>CAMILO DE LOS SANTOS SUERO</t>
  </si>
  <si>
    <t>ESTEFANY SANTANA NICASIO</t>
  </si>
  <si>
    <t>FRANCISCO DE PAULA MARIA RUIZ FERMIN</t>
  </si>
  <si>
    <t>SANTO PEREZ</t>
  </si>
  <si>
    <t>GLADIS ROCHE REYES</t>
  </si>
  <si>
    <t>DAIREN SUERO MEJIA</t>
  </si>
  <si>
    <t>WALFA MIGUELINA PEGUERO CESPEDES</t>
  </si>
  <si>
    <t>E&amp;C MULTISERVICES, E.I.R.L.</t>
  </si>
  <si>
    <t>EXPRESS SERVICIOS LOGISTICOS ESLOGIST, EIRL.</t>
  </si>
  <si>
    <t>DISTRIBUIDORA INSTANTAMIC, S.R.L.</t>
  </si>
  <si>
    <t>SOLUCIONES DE OFICINA YYY, S.R.L.</t>
  </si>
  <si>
    <t>PRADOS DEL CAMPO, S.R.L</t>
  </si>
  <si>
    <t>AVISO CREDITO</t>
  </si>
  <si>
    <t>AVISO DEBITO</t>
  </si>
  <si>
    <t>INTERESES USO FONDOS EN TRANSITO</t>
  </si>
  <si>
    <t>IMPUESTO LEY 288-04 (0.15%)</t>
  </si>
  <si>
    <t>COMISION BANCARIA</t>
  </si>
  <si>
    <t>TOTALES / BALANCE FINAL</t>
  </si>
  <si>
    <t xml:space="preserve">                              Lic. Cristóbal A. Febriel R.</t>
  </si>
  <si>
    <t xml:space="preserve">                         Encargado División de Contabilidad</t>
  </si>
  <si>
    <t>Director Administrativo y Financiero</t>
  </si>
  <si>
    <t xml:space="preserve">DEPARTAMENTO  FINANCIERO </t>
  </si>
  <si>
    <t>DIVISION DE CONTABILIDAD</t>
  </si>
  <si>
    <t>CUENTA GERENCIA DE SUPERMERCADO  NO. 240-010599-0</t>
  </si>
  <si>
    <t>RELACIÓN DE CHEQUES  PAGADOS, TRANSFERENCIAS Y COMISIONES</t>
  </si>
  <si>
    <t>R E T E N C I O N E S</t>
  </si>
  <si>
    <t>FECHA BANCO</t>
  </si>
  <si>
    <t xml:space="preserve">BENEFICIARIO </t>
  </si>
  <si>
    <t>No. CK</t>
  </si>
  <si>
    <t>VALOR</t>
  </si>
  <si>
    <t>10% HONO.</t>
  </si>
  <si>
    <t>10% ALQ.</t>
  </si>
  <si>
    <t>10% O.R.</t>
  </si>
  <si>
    <t xml:space="preserve">IT- P. F. </t>
  </si>
  <si>
    <t>IT- P. J.</t>
  </si>
  <si>
    <t>ACTIVOS FIJOS-COMPRAS</t>
  </si>
  <si>
    <t>AGUA Y BASURA</t>
  </si>
  <si>
    <t>ALQUILER DE EQUIPOS</t>
  </si>
  <si>
    <t>ALQUILER DE EQUIPOS Y MUBLES</t>
  </si>
  <si>
    <t>ALQUILER EQUIPO TRANSPORTE</t>
  </si>
  <si>
    <t>COMBUSTILES Y LUBRICANTES</t>
  </si>
  <si>
    <t>FELIX ALBERTO LEDESMA UREÑA</t>
  </si>
  <si>
    <t>DISMINUCION DEUDA NO REGISTRADA</t>
  </si>
  <si>
    <t>ENERGIA ELECTRICA</t>
  </si>
  <si>
    <t>EMPRESA DISTRIBUIDORA DE ELECTRICIDAD DEL ESTE, S,A.</t>
  </si>
  <si>
    <t>ENTRENAMIENTO DE PERSONAL</t>
  </si>
  <si>
    <t>GASTOS MISCELANEOS</t>
  </si>
  <si>
    <t>MANT. Y REPARAC. ACTIVOS</t>
  </si>
  <si>
    <t>MATERIAL  PARA USO MEDICO</t>
  </si>
  <si>
    <t>MATERIAL DE LIMPIEZA</t>
  </si>
  <si>
    <t>MERCANCIA PARA LA VENTA</t>
  </si>
  <si>
    <t>PRESTACIONES LABORALES</t>
  </si>
  <si>
    <t>INSTITUTO DE ESTABILIZACION DE PRECIOS (  INESPRE )</t>
  </si>
  <si>
    <t>PROTECCION DE FONDOS</t>
  </si>
  <si>
    <t>SEGURO DE VIDA</t>
  </si>
  <si>
    <t>SEGURO MEDICO</t>
  </si>
  <si>
    <t>SERVICIOS DE ALIMENTACION</t>
  </si>
  <si>
    <t>SERVICIOS TECNICOS PROFESIONALES</t>
  </si>
  <si>
    <t>SUELDOS</t>
  </si>
  <si>
    <t>SUB- TOTAL RD$</t>
  </si>
  <si>
    <t>TRANSFERENCIAS INTERNAS</t>
  </si>
  <si>
    <t>TRANSFERENCIA PROPIA TUBANCOEM</t>
  </si>
  <si>
    <t>TRANSACCIONES INTERNAS DEL BANCO</t>
  </si>
  <si>
    <t>CK PAGADO EN CAJA</t>
  </si>
  <si>
    <t xml:space="preserve">CHEQUE DUPLICADO POR EL BANCO </t>
  </si>
  <si>
    <t>NOTA DE DEBITO</t>
  </si>
  <si>
    <t>CARGOS INTERESES USO FONDOS EN TRÁNSITO</t>
  </si>
  <si>
    <t>4524000000001</t>
  </si>
  <si>
    <t>EN RECLAMACION</t>
  </si>
  <si>
    <t>COMISIONES BANCARIAS</t>
  </si>
  <si>
    <t>IMPUESTOS SOBRE CHEQUES Y TRANSF. 0.15%</t>
  </si>
  <si>
    <t>TOTAL RD$</t>
  </si>
  <si>
    <t>CUENTA NÓMINA ELECTRÓNICA  NO. 240-011934-6</t>
  </si>
  <si>
    <t xml:space="preserve">RELACIÓN DE DESEMBOLSOS REALIZADOS </t>
  </si>
  <si>
    <t>REFERENCIA</t>
  </si>
  <si>
    <t xml:space="preserve">VALOR </t>
  </si>
  <si>
    <t>PAGOS DE NOMINAS</t>
  </si>
  <si>
    <t xml:space="preserve">PAGO DE NÓMINA </t>
  </si>
  <si>
    <t>HORAS EXTRAS</t>
  </si>
  <si>
    <t>ASIGNACION PARA COMBUSTIBLES</t>
  </si>
  <si>
    <t>COMPENSACION USO VEHICULOS</t>
  </si>
  <si>
    <t>GASTOS DE REPRESENTACION</t>
  </si>
  <si>
    <t xml:space="preserve">JORNALERO </t>
  </si>
  <si>
    <t>PERSONAL CONTRATADO</t>
  </si>
  <si>
    <t>COMPENSACION SEGURIDAD MILITAR</t>
  </si>
  <si>
    <t>SUB-TOTAL  RD$</t>
  </si>
  <si>
    <t xml:space="preserve">TRANSFERENCIA DE FONDOS </t>
  </si>
  <si>
    <t>OTROS PAGOS POR TRANSFERENCIAS</t>
  </si>
  <si>
    <t>JORNALES MERCADOS DE PRODUCTORES FIJOS</t>
  </si>
  <si>
    <t xml:space="preserve">ASP </t>
  </si>
  <si>
    <t xml:space="preserve">SERVICIOS PRESTADOS </t>
  </si>
  <si>
    <t xml:space="preserve">COOPERATIVA AGROPECUARIA SERVICIOS MULTIPLES AGROPECUARIOS </t>
  </si>
  <si>
    <t xml:space="preserve">LACTANCIA </t>
  </si>
  <si>
    <t>OTROS GASTOS DE PERSONAL</t>
  </si>
  <si>
    <t>ANPA</t>
  </si>
  <si>
    <t>RETENCION PENSION ALIMENTICIA (SUELDO)</t>
  </si>
  <si>
    <t xml:space="preserve">VIATICOS </t>
  </si>
  <si>
    <t>NOTAS DE DEBITO</t>
  </si>
  <si>
    <t xml:space="preserve">COMISIONES BANCARIAS </t>
  </si>
  <si>
    <t>IMPUESTO SOBRE TRANSFERENCIAS 0.15%</t>
  </si>
  <si>
    <t>TOTAL GENERAL RD$</t>
  </si>
  <si>
    <t>PROVEEDOR</t>
  </si>
  <si>
    <t>NO. FACTURA (NCF)</t>
  </si>
  <si>
    <t>FECHA FACTURA</t>
  </si>
  <si>
    <t>MONTO</t>
  </si>
  <si>
    <t>RELACION DE PAGOS A PROVEEDORES</t>
  </si>
  <si>
    <t>DEL 1 AL 31 DE AGOSTO DE 2021</t>
  </si>
  <si>
    <t>B1500000344</t>
  </si>
  <si>
    <t>CUENTAS POR PAGAR SUPLIDORES</t>
  </si>
  <si>
    <t xml:space="preserve"> AL 31 DE JULIO 2021</t>
  </si>
  <si>
    <t>14/07/2021</t>
  </si>
  <si>
    <t>B1500000367</t>
  </si>
  <si>
    <t>29/03/2021</t>
  </si>
  <si>
    <t>B1500000051</t>
  </si>
  <si>
    <t>B1500000054</t>
  </si>
  <si>
    <t>B1500000060</t>
  </si>
  <si>
    <t>28/07/2021</t>
  </si>
  <si>
    <t>B1500000159</t>
  </si>
  <si>
    <t>CINTHIA MARGARITA POLANCO CRUZ</t>
  </si>
  <si>
    <t>B1500000161</t>
  </si>
  <si>
    <t>28/05/2021</t>
  </si>
  <si>
    <t>B1500098540</t>
  </si>
  <si>
    <t>B1500098541</t>
  </si>
  <si>
    <t>28/06/2021</t>
  </si>
  <si>
    <t>B1500101041</t>
  </si>
  <si>
    <t>B1500101042</t>
  </si>
  <si>
    <t>B1500006026</t>
  </si>
  <si>
    <t xml:space="preserve">CORP.PARA DESARROLLO DE  SEGURIDAD Y DEFENSA </t>
  </si>
  <si>
    <t>23/05/2021</t>
  </si>
  <si>
    <t>B1500000296</t>
  </si>
  <si>
    <t>DIPUGLIA PC OUTLET STORE, S. R. L.</t>
  </si>
  <si>
    <t>B1500002829</t>
  </si>
  <si>
    <t>B1500002960</t>
  </si>
  <si>
    <t>EDITORA EL NUEVO DIARIO</t>
  </si>
  <si>
    <t>19/05/2021</t>
  </si>
  <si>
    <t>B1500000405</t>
  </si>
  <si>
    <t>28/03/2021</t>
  </si>
  <si>
    <t>15/7/2021</t>
  </si>
  <si>
    <t>B1500000265</t>
  </si>
  <si>
    <t>ESPEJO 360 / JOSE MARIA REYES PEREZ</t>
  </si>
  <si>
    <t>B1500000089</t>
  </si>
  <si>
    <t>EXPRESS SERVICIOS LOGISTICOS ESLOGIST EIRL</t>
  </si>
  <si>
    <t>B1500000152</t>
  </si>
  <si>
    <t xml:space="preserve">FEROX SOLUTIONS SRL                      </t>
  </si>
  <si>
    <t>B1500000070</t>
  </si>
  <si>
    <t>B1500000072</t>
  </si>
  <si>
    <t>B1500000084</t>
  </si>
  <si>
    <t>B1500000034</t>
  </si>
  <si>
    <t>HAISEL EVELIO MERCEDES</t>
  </si>
  <si>
    <t>ALQUILCER LOCAL COMERCIAL</t>
  </si>
  <si>
    <t>B1500000080</t>
  </si>
  <si>
    <t xml:space="preserve">ISLITA EIRL                              </t>
  </si>
  <si>
    <t>B1500000156</t>
  </si>
  <si>
    <t xml:space="preserve">JOBANNI RAFAEL JAVIER REYES              </t>
  </si>
  <si>
    <t>B1500000121</t>
  </si>
  <si>
    <t xml:space="preserve">LOLY REYNOA BEARD DE JAVIER              </t>
  </si>
  <si>
    <t>B1500000066</t>
  </si>
  <si>
    <t xml:space="preserve">MAXWELL ARISTOTELES REYES DE LA ROSA     </t>
  </si>
  <si>
    <t>15/06/2021</t>
  </si>
  <si>
    <t>B1500000067</t>
  </si>
  <si>
    <t>B1500000117</t>
  </si>
  <si>
    <t>MEDIOPRATV, S. R. L.</t>
  </si>
  <si>
    <t>B1500000536</t>
  </si>
  <si>
    <t xml:space="preserve">MAL2 CONTIGO SRL                         </t>
  </si>
  <si>
    <t>14/7/2021</t>
  </si>
  <si>
    <t>B1500000196</t>
  </si>
  <si>
    <t xml:space="preserve">MANUEL DAVID TEJEDA PEÑA                 </t>
  </si>
  <si>
    <t>B1500000197</t>
  </si>
  <si>
    <t>B1500000198</t>
  </si>
  <si>
    <t>B1500000334</t>
  </si>
  <si>
    <t>B1500000339</t>
  </si>
  <si>
    <t xml:space="preserve">PAROSA SRL                               </t>
  </si>
  <si>
    <t>23/7/2021</t>
  </si>
  <si>
    <t>B1500000024</t>
  </si>
  <si>
    <t>B1500000258</t>
  </si>
  <si>
    <t>B1500000259</t>
  </si>
  <si>
    <t>B1500000260</t>
  </si>
  <si>
    <t>B1500000261</t>
  </si>
  <si>
    <t>B1500000262</t>
  </si>
  <si>
    <t>B1500000263</t>
  </si>
  <si>
    <t>B1500000264</t>
  </si>
  <si>
    <t>15/07/2021</t>
  </si>
  <si>
    <t>B1500000267</t>
  </si>
  <si>
    <t>B1500000268</t>
  </si>
  <si>
    <t>B1500000269</t>
  </si>
  <si>
    <t>B1500000417</t>
  </si>
  <si>
    <t>PRODUCTORA SIN LIMITES, S. R. L.</t>
  </si>
  <si>
    <t>21/7/2021</t>
  </si>
  <si>
    <t>B150000173</t>
  </si>
  <si>
    <t xml:space="preserve">RUPERTO RUCK JIMENEZ                     </t>
  </si>
  <si>
    <t>B150000175</t>
  </si>
  <si>
    <t>B150000180</t>
  </si>
  <si>
    <t>B1500000193</t>
  </si>
  <si>
    <t xml:space="preserve">RUTA GANADERA S. R. L.                        </t>
  </si>
  <si>
    <t>B1500000243</t>
  </si>
  <si>
    <t xml:space="preserve">SALUDOS COMUNICACIONES FRIAS SRL         </t>
  </si>
  <si>
    <t>B1500000246</t>
  </si>
  <si>
    <t>B1500000249</t>
  </si>
  <si>
    <t>B1500000346</t>
  </si>
  <si>
    <t xml:space="preserve">SDM GROUP SRL                            </t>
  </si>
  <si>
    <t>13/7/2021</t>
  </si>
  <si>
    <t>B1500000349</t>
  </si>
  <si>
    <t>B1500000350</t>
  </si>
  <si>
    <t>16/7/2021</t>
  </si>
  <si>
    <t>B1500000351</t>
  </si>
  <si>
    <t>19/7/2021</t>
  </si>
  <si>
    <t>B1500000352</t>
  </si>
  <si>
    <t>B1500000185</t>
  </si>
  <si>
    <t xml:space="preserve">SENABRI HIRCANIA SILVESTRE CASTRO        </t>
  </si>
  <si>
    <t>B1500004774</t>
  </si>
  <si>
    <t>SEGURO NACIONAL DE SALUD / SENASA</t>
  </si>
  <si>
    <t>SEGURO PARA PERSONAS</t>
  </si>
  <si>
    <t>B1500000192</t>
  </si>
  <si>
    <t>B1500000147</t>
  </si>
  <si>
    <t>SOLUCIONES GLOBALES JM, S. A.</t>
  </si>
  <si>
    <t>B1500000168</t>
  </si>
  <si>
    <t xml:space="preserve">SUPLIDORA INDUSTRIAL DOM/SIDOCA          </t>
  </si>
  <si>
    <t>31/7/2021</t>
  </si>
  <si>
    <t>B1500000099</t>
  </si>
  <si>
    <t>TRANSPORTE VIRAMICA, S. R. L.</t>
  </si>
  <si>
    <t>B1500000173</t>
  </si>
  <si>
    <t xml:space="preserve">VICTOR JOSE MAÑANA ADAMES                </t>
  </si>
  <si>
    <t>B1500000174</t>
  </si>
  <si>
    <t>B1500000176</t>
  </si>
  <si>
    <t>B1500000177</t>
  </si>
  <si>
    <t>B1500000178</t>
  </si>
  <si>
    <t>17/07/2021</t>
  </si>
  <si>
    <t>B1500122645</t>
  </si>
  <si>
    <t>V ENERGY, S. A.</t>
  </si>
  <si>
    <t>17/7/2021</t>
  </si>
  <si>
    <t>B1500000071</t>
  </si>
  <si>
    <t xml:space="preserve">WILKIN AMADOR RODRIGUEZ                  </t>
  </si>
  <si>
    <t>B1500000036</t>
  </si>
  <si>
    <t xml:space="preserve">RICARDO ANTONIO RODRIGUEZ ROSA           </t>
  </si>
  <si>
    <t>14/06/2021</t>
  </si>
  <si>
    <t>COMPLETO</t>
  </si>
  <si>
    <t>ARAMELBA GROUP, S. R.L.</t>
  </si>
  <si>
    <t>B1500000119</t>
  </si>
  <si>
    <t>AYUNTAMIENTO MUNICIPIO SANTIAGO</t>
  </si>
  <si>
    <t>RECOGIDA RESIDUOS SOLICOS</t>
  </si>
  <si>
    <t>B1500002885</t>
  </si>
  <si>
    <t>16/08/2021</t>
  </si>
  <si>
    <t>INVERSIONES MULTIPLES A &amp; H, S. R. L.</t>
  </si>
  <si>
    <t xml:space="preserve">SEGURO MEDICO </t>
  </si>
  <si>
    <t>B1500019765</t>
  </si>
  <si>
    <t>B1500000694</t>
  </si>
  <si>
    <t>24/06/2021</t>
  </si>
  <si>
    <t>B1500000110</t>
  </si>
  <si>
    <t>MOBILIARIO Y EQUIPO DE OFICINA</t>
  </si>
  <si>
    <t>B1500000101</t>
  </si>
  <si>
    <t>B1500000330</t>
  </si>
  <si>
    <t>26/7/2021</t>
  </si>
  <si>
    <t>B1500000108</t>
  </si>
  <si>
    <t>B1500122584</t>
  </si>
  <si>
    <t>B1500122561</t>
  </si>
  <si>
    <t>B1500666653</t>
  </si>
  <si>
    <t>B1500666668</t>
  </si>
  <si>
    <t>B1500666348</t>
  </si>
  <si>
    <t>20/04/2021</t>
  </si>
  <si>
    <t>B1500666574</t>
  </si>
  <si>
    <t>B1500666527</t>
  </si>
  <si>
    <t>B1500000329</t>
  </si>
  <si>
    <t>B1500000221</t>
  </si>
  <si>
    <t>B1500000184</t>
  </si>
  <si>
    <t>B1500000118</t>
  </si>
  <si>
    <t>B1500000397</t>
  </si>
  <si>
    <t>B150000483</t>
  </si>
  <si>
    <t>B150000496</t>
  </si>
  <si>
    <t>B150000110</t>
  </si>
  <si>
    <t>B150000155</t>
  </si>
  <si>
    <t>B150000052</t>
  </si>
  <si>
    <t>B150000625</t>
  </si>
  <si>
    <t>B150000183</t>
  </si>
  <si>
    <t>B150000148</t>
  </si>
  <si>
    <t>B150000242</t>
  </si>
  <si>
    <t>B150000244</t>
  </si>
  <si>
    <t>B150000245</t>
  </si>
  <si>
    <t>B150000247</t>
  </si>
  <si>
    <t>B150000514</t>
  </si>
  <si>
    <t>B150000520</t>
  </si>
  <si>
    <t>27/7/2021</t>
  </si>
  <si>
    <t>B150000159</t>
  </si>
  <si>
    <t>B150000161</t>
  </si>
  <si>
    <t>B150000156</t>
  </si>
  <si>
    <t>B150000538</t>
  </si>
  <si>
    <t>B150000537</t>
  </si>
  <si>
    <t>18/05/2021</t>
  </si>
  <si>
    <t>21/06/2021</t>
  </si>
  <si>
    <t>B150000117</t>
  </si>
  <si>
    <t>B150000118</t>
  </si>
  <si>
    <t>B150000062</t>
  </si>
  <si>
    <t>B150000059</t>
  </si>
  <si>
    <t>B150000061</t>
  </si>
  <si>
    <t>B150000060</t>
  </si>
  <si>
    <t>B150000071</t>
  </si>
  <si>
    <t>B150000034</t>
  </si>
  <si>
    <t>B150000033</t>
  </si>
  <si>
    <t>B150000045</t>
  </si>
  <si>
    <t>B150000176</t>
  </si>
  <si>
    <t>B150000174</t>
  </si>
  <si>
    <t>14/04/2021</t>
  </si>
  <si>
    <t>B150000081</t>
  </si>
  <si>
    <t>B150000172</t>
  </si>
  <si>
    <t>SERVICIO DE LIMPIEZA POZO SEPTICO</t>
  </si>
  <si>
    <t>B150000044</t>
  </si>
  <si>
    <t>B150000116</t>
  </si>
  <si>
    <t>B150000158</t>
  </si>
  <si>
    <t>B150000348</t>
  </si>
  <si>
    <t>B150000072</t>
  </si>
  <si>
    <t>CAPACITACION DE PERSONAL</t>
  </si>
  <si>
    <t>B150000018</t>
  </si>
  <si>
    <t>B150000051</t>
  </si>
  <si>
    <t>B150000346</t>
  </si>
  <si>
    <t>B150000349</t>
  </si>
  <si>
    <t>13/07/2021</t>
  </si>
  <si>
    <t>B150000099</t>
  </si>
  <si>
    <t>B150000003</t>
  </si>
  <si>
    <t>B150000350</t>
  </si>
  <si>
    <t>B150000351</t>
  </si>
  <si>
    <t>B150000352</t>
  </si>
  <si>
    <t>16/07/2021</t>
  </si>
  <si>
    <t>ANTICIPO</t>
  </si>
  <si>
    <t>B150000023</t>
  </si>
  <si>
    <t>B150000024</t>
  </si>
  <si>
    <t>23/07/2021</t>
  </si>
  <si>
    <t>B150000026</t>
  </si>
  <si>
    <t>B150000002</t>
  </si>
  <si>
    <t>B150000004</t>
  </si>
  <si>
    <t>B150000005</t>
  </si>
  <si>
    <t>B150000120</t>
  </si>
  <si>
    <t>B150000358</t>
  </si>
  <si>
    <t>B150001860</t>
  </si>
  <si>
    <t>30/08/2021</t>
  </si>
  <si>
    <t>B150000147</t>
  </si>
  <si>
    <t>B150000025</t>
  </si>
  <si>
    <t>B1500023131</t>
  </si>
  <si>
    <t>B1500231909</t>
  </si>
  <si>
    <t>B1500231962</t>
  </si>
  <si>
    <t>B1500232903</t>
  </si>
  <si>
    <t>B150000089</t>
  </si>
  <si>
    <t>B150066790</t>
  </si>
  <si>
    <t>B150000112</t>
  </si>
  <si>
    <t>B150004615</t>
  </si>
  <si>
    <t>B1500160843</t>
  </si>
  <si>
    <t>B1500161675</t>
  </si>
  <si>
    <t>B1500000739</t>
  </si>
  <si>
    <t>SERVICIOS DE LIMPIEZA</t>
  </si>
  <si>
    <t>SEGURO MEDICIO</t>
  </si>
  <si>
    <t>B1500022645</t>
  </si>
  <si>
    <t>B1500000556</t>
  </si>
  <si>
    <t>B1500030363</t>
  </si>
  <si>
    <t>B1500030327</t>
  </si>
  <si>
    <t>B1500000356</t>
  </si>
  <si>
    <t>B1500000358</t>
  </si>
  <si>
    <t>EDENORTE</t>
  </si>
  <si>
    <t>408/2021</t>
  </si>
  <si>
    <t>B1500221986</t>
  </si>
  <si>
    <t>B1500222370</t>
  </si>
  <si>
    <t>DEL 1 AL 30 DE SEPTIEMBRE DE 2021</t>
  </si>
  <si>
    <t>LUCRECIA NOLASCO DEL ROSARIO</t>
  </si>
  <si>
    <t>DAMARIS CARMONA</t>
  </si>
  <si>
    <t>SALVADOR ADAMES LEBRON</t>
  </si>
  <si>
    <t>MARISOL RAMIREZ PEÑA</t>
  </si>
  <si>
    <t>JUAN RAMON OSORIA SOSA</t>
  </si>
  <si>
    <t>DEIVY MONTERO LUGO</t>
  </si>
  <si>
    <t>JOSE RAFAEL PADILLA MELENDEZ</t>
  </si>
  <si>
    <t>AMILDA SOCORRO RAMIREZ DE MORILLO</t>
  </si>
  <si>
    <t>JOSEFA NIEVES GALVEZ</t>
  </si>
  <si>
    <t>DESIREE INMACULADA FRIAS DE LOS SANTOS</t>
  </si>
  <si>
    <t>IBBET ALTAGRACIA NUÑEZ RAMIREZ DE MATOS</t>
  </si>
  <si>
    <t>JOSE ANTONIO BAUTISTA GARCIA</t>
  </si>
  <si>
    <t>JULIO MORETA SANCHEZ</t>
  </si>
  <si>
    <t>FIOR DALIZA VEGA SURIEL</t>
  </si>
  <si>
    <t>CESARINA KAROLAY DE LOS SANTOS DE CORTORREAL</t>
  </si>
  <si>
    <t>DIGNA JOSEFINA DE LOS SANTOS JAVIER</t>
  </si>
  <si>
    <t>EDIS DAVID PIÑA PEREZ</t>
  </si>
  <si>
    <t>MAIRENI ALEXANDER DE LA CRUZ HERNANDEZ</t>
  </si>
  <si>
    <t>FRANCISCO ALBERTO CORDERO RUIZ</t>
  </si>
  <si>
    <t>MARIA MAGDALENA AMPARO</t>
  </si>
  <si>
    <t>MAXIEL ONEIDA FABAL RIVERA</t>
  </si>
  <si>
    <t>LUZ DEL ALBA  PARAHOY SANCHEZ</t>
  </si>
  <si>
    <t>JUAN FRANCISCO ALMANZAR</t>
  </si>
  <si>
    <t>RAFAELA CONCEPCION PEÑA</t>
  </si>
  <si>
    <t>ADON ESTEBAN COLLADO RODRIGUEZ</t>
  </si>
  <si>
    <t>NILSON AQUINO RODRIGUEZ</t>
  </si>
  <si>
    <t>ADRIANA MERCEDES DE LA CRUZ</t>
  </si>
  <si>
    <t>JUAN CARLOS MATEO BELTRE</t>
  </si>
  <si>
    <t>PRODUCTORA SIN LIMITES, SRL.</t>
  </si>
  <si>
    <t>EDITORA EL NUEVO DIARIO, S.A.</t>
  </si>
  <si>
    <t>XIOMARA IVELISSE RODRIGUEZ PEREZ</t>
  </si>
  <si>
    <t>JORGE BELTRES SOSA</t>
  </si>
  <si>
    <t>BASILIA MERCEDES HERRERA</t>
  </si>
  <si>
    <t>RAMON ROBERTY BONILLA GARCIA</t>
  </si>
  <si>
    <t>GAUDI CATIUSKA ROSARIO MORLA</t>
  </si>
  <si>
    <t>PASCUAL PADILLA CHIRENO</t>
  </si>
  <si>
    <t>PABLO OSVALDO RAFAEL PACHECO</t>
  </si>
  <si>
    <t>SANTA CASILDA BENITEZ FAJARDO</t>
  </si>
  <si>
    <t>ALBERTO PEGUERO ZORRILLA</t>
  </si>
  <si>
    <t>ALEYDA DURAN PAREDES</t>
  </si>
  <si>
    <t>INVERSIONES FAMOVA, EIRL.</t>
  </si>
  <si>
    <t>ANTHONY CASTILLO DE LA CRUZ</t>
  </si>
  <si>
    <t>GRISELDA PATRICIA FOX NURSE</t>
  </si>
  <si>
    <t>TESORERIA DE LA SEGURIDAD SOCIAL</t>
  </si>
  <si>
    <t>MICHAEL JORDAN MEDINA</t>
  </si>
  <si>
    <t>DANIELA DE LA CRUZ PUELLO</t>
  </si>
  <si>
    <t>LEVE LELUS JOSE</t>
  </si>
  <si>
    <t>JENNIFER MANUELA LUCIANO SILVESTRE</t>
  </si>
  <si>
    <t>DANIEL GIL DE LOS SANTOS</t>
  </si>
  <si>
    <t>JOSE DANIEL RAMIREZ LINARES</t>
  </si>
  <si>
    <t>YEIMERYS SERIDANIA RODRIGUEZ NATERA</t>
  </si>
  <si>
    <t>AMADO ALCEQUIEZ HERNANDEZ</t>
  </si>
  <si>
    <t>MARY FRANKELY SANTOS SANCHEZ</t>
  </si>
  <si>
    <t>LOREN JAVIER ENCARNACION MATEO</t>
  </si>
  <si>
    <t>MARTIN VASQUEZ DISLA</t>
  </si>
  <si>
    <t>FRANCISCO DE JESUS PEREZ MARRERO</t>
  </si>
  <si>
    <t>CELIO ENRIQUE DE LA ROSA FULGENCIO</t>
  </si>
  <si>
    <t>JUANA SILVESTRE GUERRERO</t>
  </si>
  <si>
    <t>ROSAINA MERCEDES RODRIGUEZ GARCIA</t>
  </si>
  <si>
    <t>ALTAGRACIA DIAZ PEÑA</t>
  </si>
  <si>
    <t>JOHANDY MANUEL DURAN JIMENEZ</t>
  </si>
  <si>
    <t>BARBARA MARUTA BAEZ</t>
  </si>
  <si>
    <t>MANUEL ALEXANDER HENRIQUEZ RODRIGUEZ</t>
  </si>
  <si>
    <t>NANCY CARINA TAVERA PARRA</t>
  </si>
  <si>
    <t>DAYSI ALTAGRACIA AMEZQUITA SOSA DE DEL VALLE</t>
  </si>
  <si>
    <t>MAYRA ALFONSO BELICEA</t>
  </si>
  <si>
    <t>RAIMUNDO DANIEL TIRADO CALCAÑO</t>
  </si>
  <si>
    <t>YNOCENCIO MERCEDES</t>
  </si>
  <si>
    <t>RAMON ANTONIO ROSARIO ABREU</t>
  </si>
  <si>
    <t>PEDRO ANIBAL RAMIREZ BRITO</t>
  </si>
  <si>
    <t>COMERCIALIZADORA BLUECROSS, SRL.</t>
  </si>
  <si>
    <t>PEDRO LUIS CANDELARIO PAYANO</t>
  </si>
  <si>
    <t>JOSEMENE DARCEUS</t>
  </si>
  <si>
    <t>MANUEL EMILIO ZABALA ROSARIO</t>
  </si>
  <si>
    <t>GERALDO AUGUSTO DICLO GARABITO</t>
  </si>
  <si>
    <t>JAZMIN YOKASTERY BAUTISTA CORREA</t>
  </si>
  <si>
    <t>ROSA ELVIRA SANCHEZ COMAS</t>
  </si>
  <si>
    <t>JULIAN BLANCO DISHMEY</t>
  </si>
  <si>
    <t>JULIO VAL TELLESI</t>
  </si>
  <si>
    <t>SIXTA MARTINEZ DE MANZUETA</t>
  </si>
  <si>
    <t>JUAN ISIDRO MEDINA</t>
  </si>
  <si>
    <t>LEONEL SANTOS CASTRO</t>
  </si>
  <si>
    <t>FLAVIA MORA PUENTE</t>
  </si>
  <si>
    <t>MARIA CORNELIA VALDEZ VALERA</t>
  </si>
  <si>
    <t>MELVIN VLADIMIR JAQUEZ ROSARIO</t>
  </si>
  <si>
    <t>MANUEL DAVID TEJEDA PEÑA</t>
  </si>
  <si>
    <t>DAVID HIPOLITO CONTRERAS VASQUEZ</t>
  </si>
  <si>
    <t>BIXMORE GLOBAL BUSINESS, S.R.L.</t>
  </si>
  <si>
    <t>DAYSI ALTAGRACIA GONZALEZ</t>
  </si>
  <si>
    <t>GUSTAVO GARCIA</t>
  </si>
  <si>
    <t>ARISMEL MEDRANO ARACENA</t>
  </si>
  <si>
    <t>PATRICIA SOFIA GARCIA TAPIA</t>
  </si>
  <si>
    <t>CAROL ANGIOLINA VASQUEZ NUÑEZ</t>
  </si>
  <si>
    <t>COMERCIAL CODI, S.R.L.</t>
  </si>
  <si>
    <t>LEONARDO SANCHEZ SANCHEZ</t>
  </si>
  <si>
    <t>MERTIN OTILIO BELTRE DOTEL</t>
  </si>
  <si>
    <t>PAOLA VIVIANA DE LOS SANTOS TERC</t>
  </si>
  <si>
    <t>MARIA PAULA LUCIANO SOSA</t>
  </si>
  <si>
    <t>ROBERT ANTONIO ROSARIO RODRIGUEZ</t>
  </si>
  <si>
    <t>JULIO CESAR CANDELARIO CASTRO</t>
  </si>
  <si>
    <t>BJTJ HIGH TECHNOLOGY, SRL.</t>
  </si>
  <si>
    <t>VICTOR LUCIANO LUCIANO</t>
  </si>
  <si>
    <t>CESAR DAVID CASTRO</t>
  </si>
  <si>
    <t>MARIA MAGDALENA MORLA</t>
  </si>
  <si>
    <t>LUIS SILVESTRE SEPULVEDA</t>
  </si>
  <si>
    <t>LEONARDO CORNIEL RAMIREZ</t>
  </si>
  <si>
    <t>URSULA MARIA ROSARIO CRISOSTOMO</t>
  </si>
  <si>
    <t>ALEJANDRINA LAJARA RIVAS</t>
  </si>
  <si>
    <t>BERTHA GLENNY DEL R. PEÑA DUVAL</t>
  </si>
  <si>
    <t>MARIA ESTELA MARTIN ROSARIO</t>
  </si>
  <si>
    <t>NANCY ISABEL DE JESUS BAUTISTA</t>
  </si>
  <si>
    <t>ARIAS MOTORS, S.A.</t>
  </si>
  <si>
    <t>EMPRESAS INTEGRADAS, S.A.</t>
  </si>
  <si>
    <t>CARLOS MANUEL GONZALEZ HERNANDEZ</t>
  </si>
  <si>
    <t>ROSSELY MOLINA ACOSTA</t>
  </si>
  <si>
    <t>ACTUALIDADES V D, S.R.L.</t>
  </si>
  <si>
    <t>RUTA DE LA LINCOLN, SRL</t>
  </si>
  <si>
    <t>CENTRO DOMINICANO DE TECNOLOGIA CIENTIFICA, CEDOTECIE, SRL.</t>
  </si>
  <si>
    <t>MOISES ROSENDO REYES NUÑEZ</t>
  </si>
  <si>
    <t>VICTOR MANUEL MANZANILLO</t>
  </si>
  <si>
    <t>IGNACIO JOSE SANTANA RIJO</t>
  </si>
  <si>
    <t>JOSEFINA MARTINEZ ARNO</t>
  </si>
  <si>
    <t>YUBERKY LEONARDO BERROA</t>
  </si>
  <si>
    <t>MILADY DOMINGA PEREZ RODRIGUEZ</t>
  </si>
  <si>
    <t>SUINSA SUPLIDORA INSTITUCIONAL, SSI, S.R.L.</t>
  </si>
  <si>
    <t>GRUPO DIARIO LIBRE, S,A.</t>
  </si>
  <si>
    <t>KEVIN MANUEL MARRERO GENAO</t>
  </si>
  <si>
    <t>SILVIA LUCIDANIA SANTANA CONTRERAS</t>
  </si>
  <si>
    <t>SAMUEL VALENTIN GEORGE</t>
  </si>
  <si>
    <t>JULIO CESAR PICCIRILLO AGESTA</t>
  </si>
  <si>
    <t>LEONICIA REYES</t>
  </si>
  <si>
    <t>REINALDO ANTONIO RODRIGUEZ SANTANA</t>
  </si>
  <si>
    <t>JOSE LUIS PEREZ</t>
  </si>
  <si>
    <t>YNGRIS XIOMARA BELTRE OROZCO</t>
  </si>
  <si>
    <t>CARLOS MANUEL PINEDA</t>
  </si>
  <si>
    <t>ROSA MISTICA CABREJA REYES</t>
  </si>
  <si>
    <t>PAMELA E. DE LA ROSA AMADOR</t>
  </si>
  <si>
    <t>JOSE ALEJANDRO RODRIGUEZ SOTO</t>
  </si>
  <si>
    <t>IGNACIO LORENZO REYES</t>
  </si>
  <si>
    <t>JEFFRIES ALBERTO GRULLON VICIOSO</t>
  </si>
  <si>
    <t>JUAN ALBERTO ORTEGA OZUNA</t>
  </si>
  <si>
    <t>UNGRIA LIRIANO MEDINA</t>
  </si>
  <si>
    <t>CRISTOPHER EMILE PEREZ RODRIGUEZ</t>
  </si>
  <si>
    <t>PAMELA BERENICE COLON PEREZ</t>
  </si>
  <si>
    <t>MELVIN DEMETRIO SANCHEZ</t>
  </si>
  <si>
    <t>MARIA SORELIA MARTE MESSON</t>
  </si>
  <si>
    <t>SEGUROS RESERVAS, S,A.</t>
  </si>
  <si>
    <t>PROYECTO LA CRUZ DE MANZANILLO</t>
  </si>
  <si>
    <t>VICTORIA S BAR &amp; GRILL RESTAURANTE, SRL.</t>
  </si>
  <si>
    <t>JERAM INVESTMENT, SRL.</t>
  </si>
  <si>
    <t>PROGASTABLE, SRL.</t>
  </si>
  <si>
    <t>SKETCHPROM, SRL.</t>
  </si>
  <si>
    <t>ELEUSIS IVANOVIXS PEGUERO RAMOS</t>
  </si>
  <si>
    <t>DISTRIBUIDORA DE ELECTRICIDAD DEL SUR , S.A</t>
  </si>
  <si>
    <t>SOLUCIONES 365 S.R.L.</t>
  </si>
  <si>
    <t>DEYANIRA NIKAURYS LOPEZ DE TINEO</t>
  </si>
  <si>
    <t>MIGUEL ANGEL RODRIGUEZ</t>
  </si>
  <si>
    <t>DARIO PAREDES</t>
  </si>
  <si>
    <t>DELTA COMUNICACIONES, SRL.</t>
  </si>
  <si>
    <t>AGENDA GLOBAL</t>
  </si>
  <si>
    <t>ALTAGRACIA CARRASCO EVENTOS, SRL.</t>
  </si>
  <si>
    <t>FRANKLYN DARIO FRIAS PUELLO</t>
  </si>
  <si>
    <t>LUIS MANUEL BAEZ AMEZQUITA</t>
  </si>
  <si>
    <t>GLOBAL INVEST DOMINICANA, J.A, SRL.</t>
  </si>
  <si>
    <t>PROCESADORA  LECHERA OLEAGA, S,R,L.</t>
  </si>
  <si>
    <t>PAGOS DUPLICADOS EN RECLAMACION</t>
  </si>
  <si>
    <t xml:space="preserve">                    Lic. Cristóbal A. Febriel R.</t>
  </si>
  <si>
    <t xml:space="preserve">               Encargado División de Contabilidad</t>
  </si>
  <si>
    <t>DEL 1 AL  30 DE SEPTIEMBRE 2021</t>
  </si>
  <si>
    <t>2% O.R.</t>
  </si>
  <si>
    <t>APORTE A LA SEGURIDAD SOCIAL</t>
  </si>
  <si>
    <t>DISMINUCION DE DEUDA TSS</t>
  </si>
  <si>
    <t xml:space="preserve">FLETE </t>
  </si>
  <si>
    <t>HONORARIOS PROFESIONALES /23,444.27</t>
  </si>
  <si>
    <t>MANTENIMIENTO ACTIVOS FIJOS</t>
  </si>
  <si>
    <t>OTRAS DONACIONES</t>
  </si>
  <si>
    <t>PRESTACIONES LABOALES</t>
  </si>
  <si>
    <r>
      <t xml:space="preserve">ADAM MIGUEL ALMONTE </t>
    </r>
    <r>
      <rPr>
        <sz val="11"/>
        <color indexed="10"/>
        <rFont val="Arial"/>
        <family val="2"/>
      </rPr>
      <t>(ANULADO)</t>
    </r>
  </si>
  <si>
    <t>PRESTACIONES LABORALES /78147.57</t>
  </si>
  <si>
    <t>SUELDO</t>
  </si>
  <si>
    <t>PAGO EMBARGO 268-2014 /FRANCISCO GUZMAN SANTANA</t>
  </si>
  <si>
    <t>CONFECCION DE CHEQUERA</t>
  </si>
  <si>
    <t>IMPUESTO SOBRE CHEQUE</t>
  </si>
  <si>
    <t>DEL 1 AL  30 DE SEPTIEMBRE  2021</t>
  </si>
  <si>
    <t>GASTOS OPERATIVOS DE VENTAS</t>
  </si>
  <si>
    <t xml:space="preserve">SAVICA </t>
  </si>
  <si>
    <t>VIATICOS EN EL PAIS</t>
  </si>
  <si>
    <t>VIATICOS EN OPERATIVOS DE VENTAS</t>
  </si>
  <si>
    <t>VIATICOS -DEVOLUCION</t>
  </si>
  <si>
    <t>CUENTA NOMINA SUELDOS</t>
  </si>
  <si>
    <t>RECOGIDA DE RESIDUOS SOLIDOS</t>
  </si>
  <si>
    <t>B1500000281</t>
  </si>
  <si>
    <t>DEL 1 AL  31 DE OCTUBRE 2021</t>
  </si>
  <si>
    <t>ACTIVOS FIJOS - COMPRAS</t>
  </si>
  <si>
    <t>ARCADIA DIGITAL, S.R.L.</t>
  </si>
  <si>
    <t>H Y H SOLUTIONS, SRL.</t>
  </si>
  <si>
    <t>ALQUILER DE EQUIPO Y MUEBLES</t>
  </si>
  <si>
    <t>ALQUILER EQ. TRANSPORTE</t>
  </si>
  <si>
    <t>ALQUILER EQUIPO DE TRANSPORTE</t>
  </si>
  <si>
    <t>APORTE SEGURIDAD SOCIAL</t>
  </si>
  <si>
    <t>DANIA BEATO CHECO</t>
  </si>
  <si>
    <t>CAJA CHICA NORMAS TECNICAS</t>
  </si>
  <si>
    <t xml:space="preserve">DISMINUCION DE DEUDA-AGUA </t>
  </si>
  <si>
    <t>DISMINUCION DEUDA TSS</t>
  </si>
  <si>
    <t>EVENTOS CORPORATIVOS CCPS, S.R.L.</t>
  </si>
  <si>
    <t>SPRUCE TRADING, SRL.</t>
  </si>
  <si>
    <t>MANT. Y REP. ACTIVOS</t>
  </si>
  <si>
    <t>PINTURAS POPULAR, S,A.</t>
  </si>
  <si>
    <t>FACTORIA DE ARROZ TIBBETTS PIMENTEL, S.R.L.</t>
  </si>
  <si>
    <t>RUBATHER SALDO &amp; REMANENTES, SRL.</t>
  </si>
  <si>
    <t>HISPANIOLA GRAIN, SRL.</t>
  </si>
  <si>
    <t>BASILICA CATEDRAL NUESTRA SEÑORA DE LA ENCARNACION</t>
  </si>
  <si>
    <t>BENAIDES JOHANNA CASADO PEREYRA</t>
  </si>
  <si>
    <t>ROSANGELA MARIA MENDOZA GUZMAN</t>
  </si>
  <si>
    <t>LUIS MARINO PEREZ LOVERA</t>
  </si>
  <si>
    <t>WILLIAN DARIO ACOSTA ALVARADO</t>
  </si>
  <si>
    <t>HERIBERTO DE LA CRUZ CESPEDES</t>
  </si>
  <si>
    <t>PEDRO MATEO</t>
  </si>
  <si>
    <t>ELIAS MARTINEZ</t>
  </si>
  <si>
    <t>PEDRO ANTONIO FIGUEROA FERMIN</t>
  </si>
  <si>
    <t>WILKIN PEÑA PEÑA</t>
  </si>
  <si>
    <t>ALONSO UBIERA SANTANA</t>
  </si>
  <si>
    <t>CESARINA SIME MOREL</t>
  </si>
  <si>
    <t>EVELIN RODRIGUEZ RAMIREZ</t>
  </si>
  <si>
    <t>ANA MATILDE SANCHEZ ALCANTARA</t>
  </si>
  <si>
    <t>MARIA MERCEDES PERALTA HERNANDEZ</t>
  </si>
  <si>
    <t>MARIA RAMONA CRUZ GARCIA</t>
  </si>
  <si>
    <t>CAMILO REYNOSO</t>
  </si>
  <si>
    <t>JESUS ARMENIO VASQUEZ PEÑA</t>
  </si>
  <si>
    <t>JOSE RAMON GARCIA RODRIGUEZ</t>
  </si>
  <si>
    <t>RAMONA POLANCO</t>
  </si>
  <si>
    <t>JOHANNY MARGARITA LOPEZ</t>
  </si>
  <si>
    <t>YAJAIRA FLORENCIO DE LOS SANTOS</t>
  </si>
  <si>
    <t>VERONICA ANTONIA BAEZ CASADO</t>
  </si>
  <si>
    <t>JULIAN ANTONIO VELOZ FERNANDEZ</t>
  </si>
  <si>
    <t>ANGEL ALBERTO ENCARNACION DE LA CRUZ</t>
  </si>
  <si>
    <t>FREDDY MARTE DE PAULA</t>
  </si>
  <si>
    <t>FERNANDO ADAN OZUNA MORLA</t>
  </si>
  <si>
    <t>JENNIFER JIMENEZ</t>
  </si>
  <si>
    <t>DANISSA ENCARNACION PEREZ</t>
  </si>
  <si>
    <t>CARLOS ROSARIO RODRIGUEZ</t>
  </si>
  <si>
    <t>PERLA CAROLINA MONTERO DE LEON</t>
  </si>
  <si>
    <t>VIANMET GABRIELA FERNANDEZ</t>
  </si>
  <si>
    <t>MODESTA SANCHEZ RODRIGUEZ</t>
  </si>
  <si>
    <t>JUAN RODRIGUEZ DISLA</t>
  </si>
  <si>
    <t>JULIO ANTONIO MENDOZA GUZMAN</t>
  </si>
  <si>
    <t>NINOSKA DEL CARMEN HUNGRIA TRONCOSO</t>
  </si>
  <si>
    <t>FELIX ADALBERTO CORTES GUZMAN</t>
  </si>
  <si>
    <t>DAYSI MARGARITA LOPEZ ABREU</t>
  </si>
  <si>
    <t>ISAAC AUGUSTO BAEZ</t>
  </si>
  <si>
    <t>ALEXIS MIGUEL PICCIRILLO REYES</t>
  </si>
  <si>
    <t>RAMONA VIRGINIA GUTIERREZ ORTIZ</t>
  </si>
  <si>
    <t>BELKIS JUANA VILORIO</t>
  </si>
  <si>
    <t>RAMON ANTONIO CLETO SUAREZ</t>
  </si>
  <si>
    <t>RONEL JOSE GONZALEZ JOSE</t>
  </si>
  <si>
    <t>YAJAIRA ALTAGRACIA FERNANDEZ</t>
  </si>
  <si>
    <t>JUAN BAUTISTA CARABALLO MARTINEZ</t>
  </si>
  <si>
    <t>TONY JUNIOR BEATO PERALTA</t>
  </si>
  <si>
    <t>LEININ VARGAS RAMIREZ</t>
  </si>
  <si>
    <t>LUIS ANTONIO FELIZ REYES</t>
  </si>
  <si>
    <t>IRMA ALTAGRACIA TAPIA HOLGUIN</t>
  </si>
  <si>
    <t>JOSE ANGEL RODRIGUEZ ABREU</t>
  </si>
  <si>
    <t>YIMMY ARCADIO VICENTE DE LOS SANTOS</t>
  </si>
  <si>
    <t>MARICRUZ HENRIQUEZ</t>
  </si>
  <si>
    <t>BASILIO GALVEZ</t>
  </si>
  <si>
    <t>MARGARITA SANCHEZ LUCIANO</t>
  </si>
  <si>
    <t>HERIBERTO SANTANA MERCEDES</t>
  </si>
  <si>
    <t>LEONIDA GARCIA DOMINGUEZ</t>
  </si>
  <si>
    <t>PEDRO CASTILLO GARCIA</t>
  </si>
  <si>
    <t>FATIMA LEONOR DE JESUS DE CONTRERAS</t>
  </si>
  <si>
    <t>YUNELYS CAROLINA GALVEZ BELLO</t>
  </si>
  <si>
    <t>CAROLINA TAVERAS EUSEBIO</t>
  </si>
  <si>
    <t>MATEO ALMONTE SANCHEZ</t>
  </si>
  <si>
    <t>GERMANIA PEÑA</t>
  </si>
  <si>
    <t>EDGAR TORRES VINIT</t>
  </si>
  <si>
    <t>JUANA ALTAGRACIA PEREZ PEREZ</t>
  </si>
  <si>
    <t>JOSE DELIO RAMIREZ DURAN</t>
  </si>
  <si>
    <t>MARCOS ANTONIO DURAN</t>
  </si>
  <si>
    <t>RAMON TAVAREZ GARCIA</t>
  </si>
  <si>
    <t>AMAURY GENAO BELTRE</t>
  </si>
  <si>
    <t>PHADELLY DESSIREE FABIAN ESPINOSA</t>
  </si>
  <si>
    <t>DAYRA PATRICIA RASUK UREÑA</t>
  </si>
  <si>
    <t>RICHARD ANTONIO MEDINA OSORIA</t>
  </si>
  <si>
    <t>XIOMARA RAMIREZ DE VILORIO</t>
  </si>
  <si>
    <t>NADIA MARIANA PORRO MOTA</t>
  </si>
  <si>
    <t>WALTER SAMUEL SANTANA DURAN</t>
  </si>
  <si>
    <t>CRISTOBAL PEREZ DE SOSA</t>
  </si>
  <si>
    <t>ALTAGRACIA ABREU PEREZ</t>
  </si>
  <si>
    <t>JANNA LOPEZ DE LA ROSA</t>
  </si>
  <si>
    <t>DAILY CABRERA DE JESUS</t>
  </si>
  <si>
    <t>FRANCIS ANYILENNY PORTES DE VALENZUELA</t>
  </si>
  <si>
    <t>ELVIS ALBERTO AGUERO JIMENEZ</t>
  </si>
  <si>
    <t>DAMIAN GUILLERMO PERALTA</t>
  </si>
  <si>
    <t>HARRISON FELIX ESPINOSA</t>
  </si>
  <si>
    <t>YULIANA CACERES PEÑA</t>
  </si>
  <si>
    <t>ARGENIS ADOLFO LOPEZ</t>
  </si>
  <si>
    <t>JOSEFINA PICHARDO</t>
  </si>
  <si>
    <t>ROSMERY CAROLINA BAEZ TEVERAS</t>
  </si>
  <si>
    <t>MARCIA SALCEDO GARCIA</t>
  </si>
  <si>
    <t>INOCENCIA ALCEQUIEZ VICIOSO</t>
  </si>
  <si>
    <t>MARIA MAGDALENA DE LOS SANTOS GARCIA</t>
  </si>
  <si>
    <t>EZEQUIEL DE LOS SANTOS BAEZ</t>
  </si>
  <si>
    <t>TOMAS BOLIVAR POLO ESCALANTE</t>
  </si>
  <si>
    <t>ISMAEL ANTONIO SALAZAR ROSARIO</t>
  </si>
  <si>
    <t>RAFAEL OSVALDO BERROA SEPULVEDA</t>
  </si>
  <si>
    <t>OFELIA MARIA HENRIQUEZ GARCIA</t>
  </si>
  <si>
    <t>DAMIAN VARGAS MORILLO</t>
  </si>
  <si>
    <t>DEYVI REYES ENCARNACION</t>
  </si>
  <si>
    <t>INGRI MARGARITA DE LOS SANTOS VALDEZ</t>
  </si>
  <si>
    <t>JOSE GARIVALDY JAVIER VARELA</t>
  </si>
  <si>
    <t>ROCIO DEL CARMEN VICIOSO PIMENTEL</t>
  </si>
  <si>
    <t>JOHNY DIOMEDES BAEZ</t>
  </si>
  <si>
    <t>JUAN OBISPO SANTANA</t>
  </si>
  <si>
    <t>ANA CARLITA GOMEZ DE ALCANTARA</t>
  </si>
  <si>
    <t>DAINY MIGUEL VALENTIN LEON</t>
  </si>
  <si>
    <t>CARLITA DE LOS SANTOS PAREDES</t>
  </si>
  <si>
    <t>CARMELINDA MATEO MESA</t>
  </si>
  <si>
    <t>FRANCISCO ALBERTO GUANTE VELAQUEZ</t>
  </si>
  <si>
    <t>AMBROSIO NOLASCO VASQUEZ</t>
  </si>
  <si>
    <t>ANDREA  AVELINA POLANCO UREÑA</t>
  </si>
  <si>
    <t>FANNY ALTAGRACIA GOMEZ VALDEZ</t>
  </si>
  <si>
    <t>RAMON ARTURO LARA HERRERA</t>
  </si>
  <si>
    <t>JAVIER EMILIO CAMINERO MENDEZ</t>
  </si>
  <si>
    <t>YENNIFER VEGA RODRIGUEZ</t>
  </si>
  <si>
    <t>CAPTIVA PRINT. SRL.</t>
  </si>
  <si>
    <t>YENNY MARGARITA POLANCO LOVERA</t>
  </si>
  <si>
    <t>RICARDO RODRIGUEZ ROSA</t>
  </si>
  <si>
    <t>GRUPO MARKETING, S.R.L.</t>
  </si>
  <si>
    <t>TELEANTILLAS S.A.S.</t>
  </si>
  <si>
    <t>QPLEXTIS NEGOCIOS, S.R.L.</t>
  </si>
  <si>
    <t>INTERESES REVERSADO</t>
  </si>
  <si>
    <t>DIFERENCIA EN PAGO DE CHEQUES No. 024439 y 024273</t>
  </si>
  <si>
    <t>IMPUESTO SOBRE CHEQUES</t>
  </si>
  <si>
    <t>NOMINA ELECTRONICA</t>
  </si>
  <si>
    <t>18/10/2021</t>
  </si>
  <si>
    <t>NOMINA PERSONAL CONTRATADO</t>
  </si>
  <si>
    <t>T0990521</t>
  </si>
  <si>
    <t>29/10/21</t>
  </si>
  <si>
    <t>HECTOR MADERA ARIAS</t>
  </si>
  <si>
    <t>T0994021</t>
  </si>
  <si>
    <t>CON ASELA, E. I. R. L.</t>
  </si>
  <si>
    <t>T0995521</t>
  </si>
  <si>
    <t>DEL 1 AL  31 DE OCTUBRE  2021</t>
  </si>
  <si>
    <t>DEVOLUCION SUELDO</t>
  </si>
  <si>
    <t>DEVOLUCION EN LIQUIDACION</t>
  </si>
  <si>
    <t>DEL 1 AL 31 DE OCTUBRE 2021</t>
  </si>
  <si>
    <t>31/10/2021</t>
  </si>
  <si>
    <t>DEVOLUCION PAGO DUPLICADO</t>
  </si>
  <si>
    <t>CH-24322</t>
  </si>
  <si>
    <t>B1500000111</t>
  </si>
  <si>
    <t>B1500000286</t>
  </si>
  <si>
    <t>28/10/2021</t>
  </si>
  <si>
    <t>DEL 1 AL  30 DE NOVIEMBRE 2021</t>
  </si>
  <si>
    <t>GRUPO RACHEZA, SRL.</t>
  </si>
  <si>
    <t>MPOWERMENT SERVICIOS TECNICOS EMPRESARIALES, SRL.</t>
  </si>
  <si>
    <t>AGUA CRYSTAL, S. A.</t>
  </si>
  <si>
    <t>JESUS MARIA JIMENEZ GONZALEZ</t>
  </si>
  <si>
    <t>DISMINUCION DEUDA- OTRAS</t>
  </si>
  <si>
    <t>MJP PROMOTION GROUP SRL</t>
  </si>
  <si>
    <t>ADAM MIGUEL ALMONTE</t>
  </si>
  <si>
    <t>ZAG ENGINEERING DESINERS, SRL.</t>
  </si>
  <si>
    <t>MANT. Y REPARAC. DE ACTIVOS</t>
  </si>
  <si>
    <t>MANTEN. Y REPARAC. ACTIVOS</t>
  </si>
  <si>
    <t>DEVOLUCION YYY</t>
  </si>
  <si>
    <t>NEW IMAGE SOLUTIONS AND MARKETING, SRL.</t>
  </si>
  <si>
    <t>VICTAMAK COMERCIAL, SRL.</t>
  </si>
  <si>
    <t>MERCANCIA PARA VENTAS</t>
  </si>
  <si>
    <t>PORFIRIO LOPEZ VASQUEZ</t>
  </si>
  <si>
    <t>CONFEDERACION NACIONAL DE PRODUCTORES AGROP.</t>
  </si>
  <si>
    <t>AMABLE MANOLO MEDRANO RIVAS</t>
  </si>
  <si>
    <t>PATRICIA HERNANDEZ ACOSTA</t>
  </si>
  <si>
    <t>JUAN ANTONIO SEVERINO PEREZ</t>
  </si>
  <si>
    <t>ANDRES ESTANISLAO VENTURA PAULINO</t>
  </si>
  <si>
    <t>SUGERIS DE LEON FIGUEREO</t>
  </si>
  <si>
    <t>FLOR DELIZ GUZMAN</t>
  </si>
  <si>
    <t>DARLENE DE LOS SANTOS NUÑEZ</t>
  </si>
  <si>
    <t>CANDY PAOLA DURAN SANCHEZ</t>
  </si>
  <si>
    <t>ANGELA MARIA SANTANA ROSARIO</t>
  </si>
  <si>
    <t>MARGARITO DE LOS SANTOS VALDEZ</t>
  </si>
  <si>
    <t>LAIBYS ANGRIS DE LOS SANTOS ZORRILLA</t>
  </si>
  <si>
    <t>MABEL INFANTE VARGAS</t>
  </si>
  <si>
    <t>MARCOS JIMENEZ CHAVEZ</t>
  </si>
  <si>
    <t>SANTA PRIMITIVA UBRI ARIAS</t>
  </si>
  <si>
    <t>KPLL ENTERTAINMENT OPEN EIRL</t>
  </si>
  <si>
    <t>INGRID JANET BERGES DE BATLLE</t>
  </si>
  <si>
    <t>SUSATTY YAMILET DE LA ROSA</t>
  </si>
  <si>
    <t>HECTOR ANTONIO SANCHEZ MARTE</t>
  </si>
  <si>
    <t>CARLOS PORFIRIO FERNANDEZ</t>
  </si>
  <si>
    <t>ERICK JAVIER REYES</t>
  </si>
  <si>
    <t>NELSON BIENVENIDO ROMERO</t>
  </si>
  <si>
    <t>EMMY ELIZABETH MEJIA MOTA</t>
  </si>
  <si>
    <t>MARIA ALEJANDRA SOSA</t>
  </si>
  <si>
    <t>ANNELSIS SIOMARA DIAZ ZORRILLA</t>
  </si>
  <si>
    <t>DOLORES MOTA</t>
  </si>
  <si>
    <t>AUSTRIA SANCHEZ</t>
  </si>
  <si>
    <t>VIANNA WALKIRIA SAMBOY FELIZ</t>
  </si>
  <si>
    <t>JUAN ESTEBAN HERNANDEZ HIDALGO</t>
  </si>
  <si>
    <t>MANUEL DE JESUS MOGENA</t>
  </si>
  <si>
    <t>MARIA VICTORIANA CORTORREAL FERMIN</t>
  </si>
  <si>
    <t>CARMENCITA CUEVAS SEGURA</t>
  </si>
  <si>
    <t>ROSA MARIA ANTONIA REINOSO ABREU DE GARCIA</t>
  </si>
  <si>
    <t>GALICIA MARRERO USETA</t>
  </si>
  <si>
    <t>JOCELYN GENAO ESPINAL</t>
  </si>
  <si>
    <t>DIGNORA CASTILLO ADAMES DE RAMIREZ</t>
  </si>
  <si>
    <t>DESIDERIO SEGURA ESCOLASTICO</t>
  </si>
  <si>
    <t>JACQUELINE ONASSIS DIAZ RODRIGUEZ</t>
  </si>
  <si>
    <t>JUAN CARLOS LOPEZ GOMEZ</t>
  </si>
  <si>
    <t>CARMEN DILIA DELMONTE SEVERINO</t>
  </si>
  <si>
    <t>JOCELYN MARIA DOMINGUEZ</t>
  </si>
  <si>
    <t>JESUS ANTONIO DE LA CRUZ LINARES</t>
  </si>
  <si>
    <t>LEONEL DIAZ HEREDIA</t>
  </si>
  <si>
    <t>SERGIO ANT. REYES MINAYA</t>
  </si>
  <si>
    <t>JESUS ROBLES MERCEDES</t>
  </si>
  <si>
    <t>MARTA FRANCISCA RODRIGUEZ MUÑOZ</t>
  </si>
  <si>
    <t>PEDRO CASTAÑOS MARTINEZ</t>
  </si>
  <si>
    <t>JUAN DRULLARD</t>
  </si>
  <si>
    <t>SANTO JIMENEZ DE LOS SANTOS</t>
  </si>
  <si>
    <t>KENNEDY MARCIAL VENTURA PAULINO</t>
  </si>
  <si>
    <t>CONSUELO FIGUEREO DEL LEON</t>
  </si>
  <si>
    <t>SMITH ABEL ANTONIO THEN RAPOZO</t>
  </si>
  <si>
    <t>AMBIORIX RAMIREZ MONEGRO</t>
  </si>
  <si>
    <t>RUFINA DIAZ DIAZ DE HERASME</t>
  </si>
  <si>
    <t>NILCIA ISABEL REYES ZORRILLA</t>
  </si>
  <si>
    <t>MARCELO AUGUSTO VICTORIA ZENO</t>
  </si>
  <si>
    <t>JUANA ALVANEIDA PACHECO JIMENEZ</t>
  </si>
  <si>
    <t>ALEXIS RONDON</t>
  </si>
  <si>
    <t>ANA MIRTHIS PACHECO JIMENEZ</t>
  </si>
  <si>
    <t>CLAUDIO MANUEL SIMO NIEVES</t>
  </si>
  <si>
    <t>YUDISELY ALTAGRACIA RODRIGUEZ ALONZO</t>
  </si>
  <si>
    <t>MERCEDES BERIHUETE DE LOS SANTOS</t>
  </si>
  <si>
    <t>JENNIFER MERCEDES ABREU HERNANDEZ</t>
  </si>
  <si>
    <t>GABY MONTERO GONZALEZ</t>
  </si>
  <si>
    <t>EPIFANIO CAMPUSANO LOPEZ</t>
  </si>
  <si>
    <t>YOCASTA ALTAGRACIA ABREU HINOJOSA</t>
  </si>
  <si>
    <t>GILBERTO RAHDAMES INFANTE MARTINEZ</t>
  </si>
  <si>
    <t>EDWARD CHARLES JIMENEZ TAVERAS</t>
  </si>
  <si>
    <t>CADENA DE NOTICIAS TELEVISION ( CDN-TV )</t>
  </si>
  <si>
    <t>MARIA ALTAGRACIA TORRES FLORES</t>
  </si>
  <si>
    <t>LA BURBUJA, S.R.L.</t>
  </si>
  <si>
    <t>GUILLERMO JOSE SALETA PEREZ</t>
  </si>
  <si>
    <t>BOLIVAR AUGUSTO MOREL ALMONTE</t>
  </si>
  <si>
    <t>AGENDA GLOBAL. S.R.L.</t>
  </si>
  <si>
    <t>SEMINARIOS Y FOROS INSTITUCIONALES</t>
  </si>
  <si>
    <t>ALMACENES ORIENTALES, S,A.</t>
  </si>
  <si>
    <t>UTILES DE COCINA</t>
  </si>
  <si>
    <t>CERTIFICACION CHEQUE PRIVADO</t>
  </si>
  <si>
    <t>CK PROPIO PAGADO POR CAMARA</t>
  </si>
  <si>
    <t>INTERESES USO FONDO EN TRANSITO</t>
  </si>
  <si>
    <t>DEL 1 AL  30 DE NOVIEMBRE  2021</t>
  </si>
  <si>
    <t>DEVOLUCION VIATICOS</t>
  </si>
  <si>
    <t xml:space="preserve">TRANSACCIONES INTERNAS DEL BANCO </t>
  </si>
  <si>
    <t>PAGO NOMINA TUBANCOEMPRESAS DO</t>
  </si>
  <si>
    <t>CUENTA NOMINA SUELDO</t>
  </si>
  <si>
    <t>DEL 1 AL 30 DE NOVIEMBRE 2021</t>
  </si>
  <si>
    <t>30/11/2021</t>
  </si>
  <si>
    <t>A.D. 24448</t>
  </si>
  <si>
    <t>CARGO DUPLICADO EN RECLAMACION</t>
  </si>
  <si>
    <t>B1500000127</t>
  </si>
  <si>
    <t>B1500000069</t>
  </si>
  <si>
    <t>B1500000171</t>
  </si>
  <si>
    <t>15/10/2021</t>
  </si>
  <si>
    <t>B1500000230</t>
  </si>
  <si>
    <t>B1500000037</t>
  </si>
  <si>
    <t>B1500000038</t>
  </si>
  <si>
    <t>B1500000039</t>
  </si>
  <si>
    <t>B1500000285</t>
  </si>
  <si>
    <t>B1500000287</t>
  </si>
  <si>
    <t>23/10/2021</t>
  </si>
  <si>
    <t>30/10/2021</t>
  </si>
  <si>
    <t>B1500000280</t>
  </si>
  <si>
    <t>B1500000284</t>
  </si>
  <si>
    <t>B1500000375</t>
  </si>
  <si>
    <t>B1500000385</t>
  </si>
  <si>
    <t>B1500000386</t>
  </si>
  <si>
    <t>B1500000387</t>
  </si>
  <si>
    <t>B1500000388</t>
  </si>
  <si>
    <t>13/10/2021</t>
  </si>
  <si>
    <t>B1500003000</t>
  </si>
  <si>
    <t>B1500003432</t>
  </si>
  <si>
    <t>B1500001579</t>
  </si>
  <si>
    <t>B1500000541</t>
  </si>
  <si>
    <t>B1500250112</t>
  </si>
  <si>
    <t>B1500250698</t>
  </si>
  <si>
    <t>B1500250768</t>
  </si>
  <si>
    <t>B1500251659</t>
  </si>
  <si>
    <t>B1500252666</t>
  </si>
  <si>
    <t>B1500252793</t>
  </si>
  <si>
    <t>B1500253319</t>
  </si>
  <si>
    <t>B1500108497</t>
  </si>
  <si>
    <t>B1500108498</t>
  </si>
  <si>
    <t>B1500108499</t>
  </si>
  <si>
    <t>28/09/2021</t>
  </si>
  <si>
    <t>B1500173536</t>
  </si>
  <si>
    <t>B1500177019</t>
  </si>
  <si>
    <t>B1500177321</t>
  </si>
  <si>
    <t>B1500240802</t>
  </si>
  <si>
    <t>B1500242141</t>
  </si>
  <si>
    <t>B1500242167</t>
  </si>
  <si>
    <t>B1500000882</t>
  </si>
  <si>
    <t>16/11/2021</t>
  </si>
  <si>
    <t>B1500000126</t>
  </si>
  <si>
    <t>B1500000052</t>
  </si>
  <si>
    <t>B1500000169</t>
  </si>
  <si>
    <t>27/09/2021</t>
  </si>
  <si>
    <t>B1500000353</t>
  </si>
  <si>
    <t>B1500000369</t>
  </si>
  <si>
    <t>B1500000704</t>
  </si>
  <si>
    <t>B1500000224</t>
  </si>
  <si>
    <t>B1500000422</t>
  </si>
  <si>
    <t>B1500000222</t>
  </si>
  <si>
    <t>B1500000223</t>
  </si>
  <si>
    <t>B1500001420</t>
  </si>
  <si>
    <t>13/09/2021</t>
  </si>
  <si>
    <t>B1500000203</t>
  </si>
  <si>
    <t>B1500000207</t>
  </si>
  <si>
    <t>15/09/2021</t>
  </si>
  <si>
    <t>B1500000646</t>
  </si>
  <si>
    <t>B1500000649</t>
  </si>
  <si>
    <t>B1500000512</t>
  </si>
  <si>
    <t>14/10/2021</t>
  </si>
  <si>
    <t>B1500110972</t>
  </si>
  <si>
    <t>B1500110973</t>
  </si>
  <si>
    <t>B1500110974</t>
  </si>
  <si>
    <t>B1500000074</t>
  </si>
  <si>
    <t>08/10/021</t>
  </si>
  <si>
    <t>COMBUSTIBLES Y LUBRICANTES</t>
  </si>
  <si>
    <t>B1500067212</t>
  </si>
  <si>
    <t>B1500000065</t>
  </si>
  <si>
    <t>B1500000288</t>
  </si>
  <si>
    <t>21/10/2021</t>
  </si>
  <si>
    <t>B1500000106</t>
  </si>
  <si>
    <t>20/10/2021</t>
  </si>
  <si>
    <t>B1500000083</t>
  </si>
  <si>
    <t>B1500000088</t>
  </si>
  <si>
    <t>B1500000091</t>
  </si>
  <si>
    <t>B150000125</t>
  </si>
  <si>
    <t>FESTIVIDADES</t>
  </si>
  <si>
    <t>B150000107</t>
  </si>
  <si>
    <t>B150000108</t>
  </si>
  <si>
    <t>B150000109</t>
  </si>
  <si>
    <t>B150000111</t>
  </si>
  <si>
    <t>B1500000172</t>
  </si>
  <si>
    <t>B1500020938</t>
  </si>
  <si>
    <t>B1500000029</t>
  </si>
  <si>
    <t>B1500000031</t>
  </si>
  <si>
    <t>B1500031654</t>
  </si>
  <si>
    <t>FLETE Y ACARREO</t>
  </si>
  <si>
    <t>B1500000103</t>
  </si>
  <si>
    <t>B1500000120</t>
  </si>
  <si>
    <t>B1500031647</t>
  </si>
  <si>
    <t>B1500067168</t>
  </si>
  <si>
    <t>B1500067139</t>
  </si>
  <si>
    <t>B1500000368</t>
  </si>
  <si>
    <t>B1500000050</t>
  </si>
  <si>
    <t>20/09/2021</t>
  </si>
  <si>
    <t>B1500000059</t>
  </si>
  <si>
    <t>B1500000006</t>
  </si>
  <si>
    <t>B1500000312</t>
  </si>
  <si>
    <t>26/10/2021</t>
  </si>
  <si>
    <t>B1500005220</t>
  </si>
  <si>
    <t>B1500000283</t>
  </si>
  <si>
    <t>DEL 1 AL 30 DE NOVIEMBRE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</si>
</sst>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75" formatCode="#,##0.000000000_);[Red]\(#,##0.000000000\)"/>
    <numFmt numFmtId="193" formatCode="#,##0.00;[Red]#,##0.00"/>
    <numFmt numFmtId="194" formatCode="0_);\(0\)"/>
    <numFmt numFmtId="195" formatCode="#,##0.000000000000000000_);[Red]\(#,##0.000000000000000000\)"/>
    <numFmt numFmtId="196" formatCode="dd\/mm\/yyyy"/>
    <numFmt numFmtId="197" formatCode="#,##0.00000000_);[Red]\(#,##0.00000000\)"/>
  </numFmts>
  <fonts count="53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1"/>
      <color indexed="63"/>
      <name val="Arial"/>
      <family val="2"/>
    </font>
    <font>
      <b/>
      <sz val="10"/>
      <name val="Arru"/>
    </font>
    <font>
      <b/>
      <u/>
      <sz val="10"/>
      <name val="Arru"/>
    </font>
    <font>
      <sz val="12"/>
      <name val="Arrus BT"/>
      <family val="1"/>
    </font>
    <font>
      <b/>
      <u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b/>
      <sz val="12"/>
      <name val="Arial"/>
      <family val="2"/>
    </font>
    <font>
      <sz val="10"/>
      <color indexed="63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3"/>
      <color rgb="FF000000"/>
      <name val="Arial"/>
      <family val="2"/>
    </font>
    <font>
      <sz val="11"/>
      <color rgb="FF000000"/>
      <name val="Arial"/>
      <family val="2"/>
    </font>
    <font>
      <b/>
      <sz val="15"/>
      <name val="Calibri"/>
      <family val="2"/>
      <scheme val="minor"/>
    </font>
    <font>
      <sz val="12"/>
      <color rgb="FF000000"/>
      <name val="Tahoma"/>
      <family val="2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50">
    <xf numFmtId="0" fontId="0" fillId="0" borderId="0"/>
    <xf numFmtId="43" fontId="20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</cellStyleXfs>
  <cellXfs count="414">
    <xf numFmtId="0" fontId="0" fillId="0" borderId="0" xfId="0"/>
    <xf numFmtId="0" fontId="23" fillId="0" borderId="0" xfId="0" applyFont="1"/>
    <xf numFmtId="0" fontId="23" fillId="2" borderId="1" xfId="0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/>
    <xf numFmtId="0" fontId="23" fillId="2" borderId="1" xfId="0" applyFont="1" applyFill="1" applyBorder="1" applyAlignment="1">
      <alignment horizontal="left"/>
    </xf>
    <xf numFmtId="0" fontId="26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27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23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23" fillId="0" borderId="0" xfId="1" applyNumberFormat="1" applyFont="1"/>
    <xf numFmtId="40" fontId="24" fillId="0" borderId="0" xfId="0" applyNumberFormat="1" applyFont="1" applyAlignment="1">
      <alignment horizontal="center" vertical="center"/>
    </xf>
    <xf numFmtId="40" fontId="26" fillId="3" borderId="1" xfId="0" applyNumberFormat="1" applyFont="1" applyFill="1" applyBorder="1" applyAlignment="1">
      <alignment horizontal="center" vertical="center" wrapText="1"/>
    </xf>
    <xf numFmtId="40" fontId="23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19" fontId="23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6" fillId="3" borderId="1" xfId="0" applyFont="1" applyFill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40" fontId="25" fillId="0" borderId="2" xfId="0" applyNumberFormat="1" applyFont="1" applyBorder="1"/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40" fontId="23" fillId="0" borderId="1" xfId="0" applyNumberFormat="1" applyFont="1" applyFill="1" applyBorder="1"/>
    <xf numFmtId="40" fontId="28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26" fillId="3" borderId="4" xfId="0" applyFont="1" applyFill="1" applyBorder="1" applyAlignment="1">
      <alignment horizontal="center" vertical="center" wrapText="1"/>
    </xf>
    <xf numFmtId="14" fontId="23" fillId="2" borderId="4" xfId="0" applyNumberFormat="1" applyFont="1" applyFill="1" applyBorder="1" applyAlignment="1">
      <alignment horizontal="center" vertical="center"/>
    </xf>
    <xf numFmtId="173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74" fontId="1" fillId="0" borderId="1" xfId="0" applyNumberFormat="1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27" fillId="0" borderId="1" xfId="0" applyFont="1" applyFill="1" applyBorder="1" applyAlignment="1">
      <alignment horizontal="center"/>
    </xf>
    <xf numFmtId="40" fontId="1" fillId="0" borderId="1" xfId="0" applyNumberFormat="1" applyFont="1" applyFill="1" applyBorder="1" applyAlignment="1">
      <alignment horizontal="right" wrapText="1"/>
    </xf>
    <xf numFmtId="40" fontId="20" fillId="0" borderId="1" xfId="113" applyNumberFormat="1" applyBorder="1"/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40" fontId="23" fillId="0" borderId="1" xfId="0" applyNumberFormat="1" applyFont="1" applyBorder="1"/>
    <xf numFmtId="0" fontId="23" fillId="0" borderId="1" xfId="0" applyFont="1" applyBorder="1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40" fontId="0" fillId="0" borderId="0" xfId="0" applyNumberFormat="1"/>
    <xf numFmtId="172" fontId="29" fillId="0" borderId="20" xfId="0" applyNumberFormat="1" applyFont="1" applyFill="1" applyBorder="1" applyAlignment="1">
      <alignment horizontal="center" wrapText="1"/>
    </xf>
    <xf numFmtId="0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left" wrapText="1"/>
    </xf>
    <xf numFmtId="40" fontId="28" fillId="0" borderId="0" xfId="0" applyNumberFormat="1" applyFo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23" fillId="0" borderId="0" xfId="0" applyNumberFormat="1" applyFont="1" applyAlignment="1">
      <alignment horizontal="center" vertical="center" wrapText="1"/>
    </xf>
    <xf numFmtId="172" fontId="26" fillId="3" borderId="1" xfId="0" applyNumberFormat="1" applyFont="1" applyFill="1" applyBorder="1" applyAlignment="1">
      <alignment horizontal="center" vertical="center" wrapText="1"/>
    </xf>
    <xf numFmtId="172" fontId="23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23" fillId="0" borderId="1" xfId="0" applyNumberFormat="1" applyFont="1" applyBorder="1" applyAlignment="1">
      <alignment horizontal="center" vertical="center" wrapText="1"/>
    </xf>
    <xf numFmtId="172" fontId="23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20" fillId="0" borderId="1" xfId="29" applyBorder="1"/>
    <xf numFmtId="0" fontId="20" fillId="0" borderId="1" xfId="29" applyFont="1" applyBorder="1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23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20" fillId="0" borderId="0" xfId="19" applyFill="1"/>
    <xf numFmtId="0" fontId="0" fillId="0" borderId="0" xfId="0"/>
    <xf numFmtId="0" fontId="20" fillId="0" borderId="1" xfId="30" applyBorder="1"/>
    <xf numFmtId="0" fontId="20" fillId="0" borderId="1" xfId="30" applyFont="1" applyBorder="1"/>
    <xf numFmtId="0" fontId="0" fillId="0" borderId="0" xfId="0"/>
    <xf numFmtId="40" fontId="0" fillId="0" borderId="0" xfId="0" applyNumberFormat="1"/>
    <xf numFmtId="0" fontId="0" fillId="0" borderId="1" xfId="0" applyFont="1" applyFill="1" applyBorder="1" applyAlignment="1">
      <alignment horizontal="center"/>
    </xf>
    <xf numFmtId="17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4" fontId="28" fillId="0" borderId="1" xfId="0" applyNumberFormat="1" applyFont="1" applyBorder="1" applyAlignment="1">
      <alignment horizontal="right"/>
    </xf>
    <xf numFmtId="0" fontId="3" fillId="0" borderId="0" xfId="149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30" fillId="0" borderId="0" xfId="149" applyFont="1" applyFill="1" applyAlignment="1"/>
    <xf numFmtId="0" fontId="3" fillId="0" borderId="0" xfId="149" applyFont="1" applyFill="1" applyAlignment="1">
      <alignment horizontal="center"/>
    </xf>
    <xf numFmtId="0" fontId="25" fillId="0" borderId="0" xfId="0" applyFont="1" applyAlignment="1">
      <alignment horizontal="center" vertical="center"/>
    </xf>
    <xf numFmtId="0" fontId="6" fillId="0" borderId="0" xfId="149" applyFont="1" applyFill="1" applyAlignment="1">
      <alignment horizontal="center"/>
    </xf>
    <xf numFmtId="0" fontId="25" fillId="0" borderId="0" xfId="0" applyFont="1" applyAlignment="1">
      <alignment horizontal="center" vertical="center"/>
    </xf>
    <xf numFmtId="172" fontId="23" fillId="0" borderId="0" xfId="0" applyNumberFormat="1" applyFont="1" applyFill="1" applyAlignment="1">
      <alignment horizontal="center" vertical="center"/>
    </xf>
    <xf numFmtId="19" fontId="23" fillId="0" borderId="0" xfId="0" applyNumberFormat="1" applyFont="1" applyFill="1" applyAlignment="1">
      <alignment horizontal="center" vertical="center"/>
    </xf>
    <xf numFmtId="0" fontId="23" fillId="0" borderId="0" xfId="0" applyFont="1" applyFill="1"/>
    <xf numFmtId="40" fontId="23" fillId="0" borderId="0" xfId="1" applyNumberFormat="1" applyFont="1" applyFill="1"/>
    <xf numFmtId="43" fontId="23" fillId="0" borderId="0" xfId="1" applyFont="1" applyFill="1"/>
    <xf numFmtId="40" fontId="0" fillId="0" borderId="0" xfId="0" applyNumberFormat="1" applyFill="1"/>
    <xf numFmtId="0" fontId="23" fillId="0" borderId="0" xfId="0" applyFont="1" applyFill="1" applyAlignment="1">
      <alignment horizontal="center" vertical="center"/>
    </xf>
    <xf numFmtId="172" fontId="24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40" fontId="24" fillId="0" borderId="0" xfId="1" applyNumberFormat="1" applyFont="1" applyFill="1" applyAlignment="1">
      <alignment horizontal="center"/>
    </xf>
    <xf numFmtId="43" fontId="24" fillId="0" borderId="0" xfId="1" applyFont="1" applyFill="1" applyAlignment="1">
      <alignment horizontal="center"/>
    </xf>
    <xf numFmtId="0" fontId="31" fillId="0" borderId="0" xfId="0" applyFont="1" applyFill="1"/>
    <xf numFmtId="40" fontId="31" fillId="0" borderId="0" xfId="0" applyNumberFormat="1" applyFont="1" applyFill="1"/>
    <xf numFmtId="172" fontId="32" fillId="4" borderId="7" xfId="0" applyNumberFormat="1" applyFont="1" applyFill="1" applyBorder="1" applyAlignment="1">
      <alignment horizontal="center" vertical="center"/>
    </xf>
    <xf numFmtId="0" fontId="32" fillId="4" borderId="8" xfId="0" applyFont="1" applyFill="1" applyBorder="1" applyAlignment="1">
      <alignment horizontal="center" vertical="center"/>
    </xf>
    <xf numFmtId="0" fontId="32" fillId="4" borderId="8" xfId="0" applyFont="1" applyFill="1" applyBorder="1"/>
    <xf numFmtId="43" fontId="33" fillId="4" borderId="8" xfId="1" applyFont="1" applyFill="1" applyBorder="1"/>
    <xf numFmtId="172" fontId="34" fillId="4" borderId="9" xfId="0" applyNumberFormat="1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center" vertical="center"/>
    </xf>
    <xf numFmtId="0" fontId="34" fillId="4" borderId="0" xfId="0" applyFont="1" applyFill="1" applyBorder="1"/>
    <xf numFmtId="40" fontId="35" fillId="4" borderId="0" xfId="1" applyNumberFormat="1" applyFont="1" applyFill="1" applyBorder="1"/>
    <xf numFmtId="43" fontId="35" fillId="4" borderId="0" xfId="1" applyFont="1" applyFill="1" applyBorder="1"/>
    <xf numFmtId="43" fontId="34" fillId="4" borderId="10" xfId="1" applyFont="1" applyFill="1" applyBorder="1"/>
    <xf numFmtId="172" fontId="33" fillId="4" borderId="11" xfId="0" applyNumberFormat="1" applyFont="1" applyFill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33" fillId="4" borderId="6" xfId="0" applyFont="1" applyFill="1" applyBorder="1" applyAlignment="1">
      <alignment horizontal="center"/>
    </xf>
    <xf numFmtId="40" fontId="33" fillId="4" borderId="6" xfId="1" applyNumberFormat="1" applyFont="1" applyFill="1" applyBorder="1" applyAlignment="1">
      <alignment horizontal="center"/>
    </xf>
    <xf numFmtId="43" fontId="33" fillId="4" borderId="6" xfId="1" applyFont="1" applyFill="1" applyBorder="1" applyAlignment="1">
      <alignment horizontal="center"/>
    </xf>
    <xf numFmtId="43" fontId="33" fillId="4" borderId="12" xfId="1" applyFont="1" applyFill="1" applyBorder="1" applyAlignment="1">
      <alignment horizontal="center"/>
    </xf>
    <xf numFmtId="172" fontId="23" fillId="0" borderId="1" xfId="1" applyNumberFormat="1" applyFont="1" applyFill="1" applyBorder="1" applyAlignment="1">
      <alignment horizontal="center"/>
    </xf>
    <xf numFmtId="194" fontId="23" fillId="0" borderId="1" xfId="1" applyNumberFormat="1" applyFont="1" applyFill="1" applyBorder="1" applyAlignment="1">
      <alignment horizontal="center"/>
    </xf>
    <xf numFmtId="43" fontId="23" fillId="0" borderId="1" xfId="1" applyFont="1" applyFill="1" applyBorder="1" applyAlignment="1">
      <alignment horizontal="left"/>
    </xf>
    <xf numFmtId="43" fontId="23" fillId="0" borderId="1" xfId="1" applyFont="1" applyFill="1" applyBorder="1" applyAlignment="1">
      <alignment horizontal="center"/>
    </xf>
    <xf numFmtId="40" fontId="23" fillId="0" borderId="0" xfId="0" applyNumberFormat="1" applyFont="1" applyFill="1"/>
    <xf numFmtId="0" fontId="23" fillId="0" borderId="1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72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0" fontId="8" fillId="0" borderId="3" xfId="0" applyNumberFormat="1" applyFont="1" applyFill="1" applyBorder="1" applyAlignment="1">
      <alignment horizontal="right"/>
    </xf>
    <xf numFmtId="4" fontId="0" fillId="0" borderId="3" xfId="0" applyNumberFormat="1" applyFill="1" applyBorder="1"/>
    <xf numFmtId="43" fontId="23" fillId="0" borderId="3" xfId="1" applyFont="1" applyFill="1" applyBorder="1" applyAlignment="1">
      <alignment horizontal="center"/>
    </xf>
    <xf numFmtId="172" fontId="8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left"/>
    </xf>
    <xf numFmtId="40" fontId="8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43" fontId="23" fillId="0" borderId="0" xfId="1" applyFont="1" applyFill="1" applyBorder="1" applyAlignment="1">
      <alignment horizontal="center"/>
    </xf>
    <xf numFmtId="0" fontId="9" fillId="0" borderId="0" xfId="0" applyNumberFormat="1" applyFont="1" applyFill="1" applyAlignment="1">
      <alignment horizontal="left"/>
    </xf>
    <xf numFmtId="40" fontId="9" fillId="0" borderId="2" xfId="0" applyNumberFormat="1" applyFont="1" applyFill="1" applyBorder="1" applyAlignment="1">
      <alignment horizontal="right"/>
    </xf>
    <xf numFmtId="43" fontId="25" fillId="0" borderId="2" xfId="1" applyFont="1" applyFill="1" applyBorder="1" applyAlignment="1">
      <alignment horizontal="center"/>
    </xf>
    <xf numFmtId="40" fontId="9" fillId="0" borderId="0" xfId="0" applyNumberFormat="1" applyFont="1" applyFill="1" applyBorder="1" applyAlignment="1">
      <alignment horizontal="right"/>
    </xf>
    <xf numFmtId="43" fontId="25" fillId="0" borderId="0" xfId="1" applyFont="1" applyFill="1" applyBorder="1" applyAlignment="1">
      <alignment horizontal="center"/>
    </xf>
    <xf numFmtId="43" fontId="23" fillId="0" borderId="0" xfId="1" applyFont="1" applyFill="1" applyBorder="1"/>
    <xf numFmtId="40" fontId="10" fillId="0" borderId="0" xfId="0" applyNumberFormat="1" applyFont="1" applyAlignment="1">
      <alignment horizontal="right"/>
    </xf>
    <xf numFmtId="195" fontId="8" fillId="0" borderId="0" xfId="0" applyNumberFormat="1" applyFont="1" applyAlignment="1">
      <alignment horizontal="right"/>
    </xf>
    <xf numFmtId="0" fontId="12" fillId="0" borderId="0" xfId="149" applyFont="1" applyFill="1" applyAlignment="1">
      <alignment horizontal="center"/>
    </xf>
    <xf numFmtId="172" fontId="1" fillId="0" borderId="0" xfId="149" applyNumberFormat="1" applyAlignment="1">
      <alignment horizontal="center"/>
    </xf>
    <xf numFmtId="0" fontId="1" fillId="0" borderId="0" xfId="149" applyAlignment="1">
      <alignment horizontal="center"/>
    </xf>
    <xf numFmtId="0" fontId="13" fillId="0" borderId="0" xfId="149" applyFont="1" applyAlignment="1">
      <alignment horizontal="center"/>
    </xf>
    <xf numFmtId="0" fontId="7" fillId="0" borderId="0" xfId="149" applyFont="1" applyBorder="1" applyAlignment="1"/>
    <xf numFmtId="0" fontId="14" fillId="0" borderId="0" xfId="149" applyFont="1" applyFill="1" applyBorder="1" applyAlignment="1"/>
    <xf numFmtId="0" fontId="36" fillId="0" borderId="0" xfId="149" applyFont="1" applyBorder="1" applyAlignment="1"/>
    <xf numFmtId="40" fontId="8" fillId="0" borderId="0" xfId="0" applyNumberFormat="1" applyFont="1" applyFill="1" applyAlignment="1">
      <alignment horizontal="right"/>
    </xf>
    <xf numFmtId="0" fontId="27" fillId="0" borderId="0" xfId="0" applyFont="1"/>
    <xf numFmtId="40" fontId="27" fillId="0" borderId="0" xfId="0" applyNumberFormat="1" applyFont="1"/>
    <xf numFmtId="40" fontId="22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/>
    <xf numFmtId="193" fontId="37" fillId="5" borderId="0" xfId="0" applyNumberFormat="1" applyFont="1" applyFill="1"/>
    <xf numFmtId="4" fontId="37" fillId="5" borderId="0" xfId="0" applyNumberFormat="1" applyFont="1" applyFill="1"/>
    <xf numFmtId="4" fontId="37" fillId="0" borderId="0" xfId="0" applyNumberFormat="1" applyFont="1" applyFill="1"/>
    <xf numFmtId="0" fontId="27" fillId="0" borderId="0" xfId="0" applyFont="1" applyFill="1"/>
    <xf numFmtId="40" fontId="27" fillId="0" borderId="0" xfId="0" applyNumberFormat="1" applyFont="1" applyFill="1"/>
    <xf numFmtId="172" fontId="23" fillId="0" borderId="0" xfId="0" applyNumberFormat="1" applyFont="1" applyAlignment="1">
      <alignment horizontal="center"/>
    </xf>
    <xf numFmtId="172" fontId="24" fillId="0" borderId="0" xfId="0" applyNumberFormat="1" applyFont="1" applyAlignment="1">
      <alignment horizontal="center" vertical="center"/>
    </xf>
    <xf numFmtId="172" fontId="23" fillId="2" borderId="1" xfId="0" applyNumberFormat="1" applyFont="1" applyFill="1" applyBorder="1" applyAlignment="1">
      <alignment horizontal="center"/>
    </xf>
    <xf numFmtId="172" fontId="23" fillId="0" borderId="1" xfId="0" applyNumberFormat="1" applyFont="1" applyFill="1" applyBorder="1" applyAlignment="1">
      <alignment horizontal="center"/>
    </xf>
    <xf numFmtId="172" fontId="22" fillId="0" borderId="0" xfId="0" applyNumberFormat="1" applyFont="1" applyAlignment="1">
      <alignment horizontal="center"/>
    </xf>
    <xf numFmtId="172" fontId="3" fillId="0" borderId="0" xfId="149" applyNumberFormat="1" applyFont="1" applyFill="1" applyAlignment="1"/>
    <xf numFmtId="172" fontId="23" fillId="0" borderId="0" xfId="0" applyNumberFormat="1" applyFont="1"/>
    <xf numFmtId="172" fontId="26" fillId="3" borderId="4" xfId="0" applyNumberFormat="1" applyFont="1" applyFill="1" applyBorder="1" applyAlignment="1">
      <alignment horizontal="center" vertical="center" wrapText="1"/>
    </xf>
    <xf numFmtId="172" fontId="23" fillId="2" borderId="4" xfId="0" applyNumberFormat="1" applyFont="1" applyFill="1" applyBorder="1" applyAlignment="1">
      <alignment horizontal="center" vertical="center"/>
    </xf>
    <xf numFmtId="172" fontId="2" fillId="0" borderId="4" xfId="0" applyNumberFormat="1" applyFont="1" applyFill="1" applyBorder="1" applyAlignment="1">
      <alignment horizontal="center" wrapText="1"/>
    </xf>
    <xf numFmtId="172" fontId="1" fillId="0" borderId="4" xfId="0" applyNumberFormat="1" applyFont="1" applyFill="1" applyBorder="1" applyAlignment="1">
      <alignment horizontal="center"/>
    </xf>
    <xf numFmtId="172" fontId="3" fillId="0" borderId="4" xfId="0" applyNumberFormat="1" applyFont="1" applyFill="1" applyBorder="1" applyAlignment="1">
      <alignment horizontal="center"/>
    </xf>
    <xf numFmtId="172" fontId="27" fillId="0" borderId="4" xfId="0" applyNumberFormat="1" applyFont="1" applyFill="1" applyBorder="1" applyAlignment="1">
      <alignment horizontal="center"/>
    </xf>
    <xf numFmtId="172" fontId="1" fillId="0" borderId="4" xfId="0" applyNumberFormat="1" applyFont="1" applyFill="1" applyBorder="1" applyAlignment="1">
      <alignment horizontal="center" wrapText="1"/>
    </xf>
    <xf numFmtId="4" fontId="28" fillId="0" borderId="0" xfId="0" applyNumberFormat="1" applyFont="1" applyAlignment="1">
      <alignment horizontal="right"/>
    </xf>
    <xf numFmtId="172" fontId="0" fillId="0" borderId="4" xfId="0" applyNumberFormat="1" applyBorder="1"/>
    <xf numFmtId="172" fontId="0" fillId="0" borderId="4" xfId="0" applyNumberFormat="1" applyBorder="1" applyAlignment="1">
      <alignment horizontal="center"/>
    </xf>
    <xf numFmtId="0" fontId="20" fillId="0" borderId="0" xfId="30"/>
    <xf numFmtId="0" fontId="20" fillId="0" borderId="0" xfId="30" applyFont="1"/>
    <xf numFmtId="172" fontId="0" fillId="0" borderId="4" xfId="0" applyNumberFormat="1" applyFill="1" applyBorder="1" applyAlignment="1">
      <alignment horizontal="center"/>
    </xf>
    <xf numFmtId="172" fontId="29" fillId="0" borderId="21" xfId="0" applyNumberFormat="1" applyFont="1" applyFill="1" applyBorder="1" applyAlignment="1">
      <alignment horizontal="center" wrapText="1"/>
    </xf>
    <xf numFmtId="172" fontId="23" fillId="0" borderId="4" xfId="0" applyNumberFormat="1" applyFont="1" applyBorder="1"/>
    <xf numFmtId="172" fontId="3" fillId="0" borderId="13" xfId="0" applyNumberFormat="1" applyFont="1" applyFill="1" applyBorder="1" applyAlignment="1">
      <alignment horizontal="center"/>
    </xf>
    <xf numFmtId="172" fontId="23" fillId="0" borderId="4" xfId="0" applyNumberFormat="1" applyFont="1" applyFill="1" applyBorder="1" applyAlignment="1">
      <alignment horizontal="center" vertical="center" wrapText="1"/>
    </xf>
    <xf numFmtId="172" fontId="3" fillId="0" borderId="4" xfId="0" applyNumberFormat="1" applyFont="1" applyFill="1" applyBorder="1" applyAlignment="1">
      <alignment horizontal="center" wrapText="1"/>
    </xf>
    <xf numFmtId="0" fontId="6" fillId="0" borderId="0" xfId="149" applyFont="1" applyFill="1" applyAlignment="1"/>
    <xf numFmtId="0" fontId="20" fillId="5" borderId="1" xfId="30" applyFill="1" applyBorder="1"/>
    <xf numFmtId="0" fontId="2" fillId="5" borderId="1" xfId="0" applyFont="1" applyFill="1" applyBorder="1" applyAlignment="1">
      <alignment horizontal="left" wrapText="1"/>
    </xf>
    <xf numFmtId="0" fontId="20" fillId="0" borderId="1" xfId="30" applyFill="1" applyBorder="1"/>
    <xf numFmtId="0" fontId="12" fillId="0" borderId="0" xfId="149" applyFont="1" applyFill="1" applyAlignment="1"/>
    <xf numFmtId="40" fontId="25" fillId="0" borderId="0" xfId="0" applyNumberFormat="1" applyFont="1" applyBorder="1"/>
    <xf numFmtId="0" fontId="19" fillId="0" borderId="0" xfId="0" applyNumberFormat="1" applyFont="1" applyFill="1" applyAlignment="1"/>
    <xf numFmtId="43" fontId="19" fillId="0" borderId="0" xfId="0" applyNumberFormat="1" applyFont="1" applyFill="1" applyAlignment="1"/>
    <xf numFmtId="0" fontId="38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/>
    </xf>
    <xf numFmtId="0" fontId="40" fillId="0" borderId="0" xfId="0" applyFont="1" applyFill="1" applyAlignment="1">
      <alignment horizontal="center"/>
    </xf>
    <xf numFmtId="0" fontId="41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14" fontId="15" fillId="0" borderId="0" xfId="0" applyNumberFormat="1" applyFont="1" applyFill="1" applyAlignment="1">
      <alignment horizontal="left"/>
    </xf>
    <xf numFmtId="0" fontId="15" fillId="0" borderId="0" xfId="0" applyFont="1" applyFill="1"/>
    <xf numFmtId="0" fontId="15" fillId="0" borderId="0" xfId="0" applyFont="1" applyFill="1" applyAlignment="1">
      <alignment horizontal="center" vertical="center"/>
    </xf>
    <xf numFmtId="4" fontId="15" fillId="0" borderId="0" xfId="0" applyNumberFormat="1" applyFont="1" applyFill="1" applyBorder="1"/>
    <xf numFmtId="14" fontId="16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/>
    </xf>
    <xf numFmtId="10" fontId="22" fillId="0" borderId="1" xfId="0" applyNumberFormat="1" applyFont="1" applyFill="1" applyBorder="1" applyAlignment="1">
      <alignment horizontal="center"/>
    </xf>
    <xf numFmtId="14" fontId="37" fillId="0" borderId="0" xfId="0" applyNumberFormat="1" applyFont="1" applyFill="1" applyAlignment="1">
      <alignment horizontal="left"/>
    </xf>
    <xf numFmtId="196" fontId="15" fillId="0" borderId="0" xfId="29" applyNumberFormat="1" applyFont="1" applyFill="1" applyAlignment="1">
      <alignment horizontal="left"/>
    </xf>
    <xf numFmtId="193" fontId="37" fillId="0" borderId="0" xfId="0" applyNumberFormat="1" applyFont="1" applyFill="1"/>
    <xf numFmtId="0" fontId="37" fillId="6" borderId="0" xfId="0" applyFont="1" applyFill="1"/>
    <xf numFmtId="193" fontId="37" fillId="0" borderId="0" xfId="0" applyNumberFormat="1" applyFont="1" applyFill="1" applyBorder="1"/>
    <xf numFmtId="0" fontId="18" fillId="0" borderId="0" xfId="0" applyFont="1" applyFill="1" applyBorder="1" applyAlignment="1">
      <alignment horizontal="center" vertical="center"/>
    </xf>
    <xf numFmtId="4" fontId="16" fillId="0" borderId="14" xfId="0" applyNumberFormat="1" applyFont="1" applyFill="1" applyBorder="1"/>
    <xf numFmtId="4" fontId="43" fillId="5" borderId="0" xfId="0" applyNumberFormat="1" applyFont="1" applyFill="1"/>
    <xf numFmtId="4" fontId="16" fillId="0" borderId="0" xfId="0" applyNumberFormat="1" applyFont="1" applyFill="1" applyBorder="1"/>
    <xf numFmtId="0" fontId="18" fillId="0" borderId="15" xfId="0" applyFont="1" applyFill="1" applyBorder="1" applyAlignment="1">
      <alignment horizontal="center" vertical="center"/>
    </xf>
    <xf numFmtId="197" fontId="27" fillId="0" borderId="0" xfId="0" applyNumberFormat="1" applyFont="1" applyFill="1"/>
    <xf numFmtId="0" fontId="27" fillId="0" borderId="0" xfId="0" applyFont="1" applyFill="1" applyAlignment="1">
      <alignment horizontal="left"/>
    </xf>
    <xf numFmtId="0" fontId="15" fillId="0" borderId="0" xfId="0" applyFont="1" applyFill="1" applyAlignment="1">
      <alignment horizontal="left"/>
    </xf>
    <xf numFmtId="0" fontId="15" fillId="0" borderId="0" xfId="29" applyNumberFormat="1" applyFont="1" applyFill="1" applyAlignment="1">
      <alignment horizontal="center"/>
    </xf>
    <xf numFmtId="4" fontId="15" fillId="0" borderId="0" xfId="29" applyNumberFormat="1" applyFont="1" applyFill="1" applyAlignment="1">
      <alignment horizontal="right"/>
    </xf>
    <xf numFmtId="0" fontId="15" fillId="0" borderId="0" xfId="0" applyNumberFormat="1" applyFont="1" applyFill="1" applyAlignment="1">
      <alignment horizontal="left"/>
    </xf>
    <xf numFmtId="4" fontId="15" fillId="0" borderId="15" xfId="29" applyNumberFormat="1" applyFont="1" applyFill="1" applyBorder="1" applyAlignment="1">
      <alignment horizontal="right"/>
    </xf>
    <xf numFmtId="4" fontId="15" fillId="0" borderId="0" xfId="29" applyNumberFormat="1" applyFont="1" applyFill="1" applyBorder="1" applyAlignment="1">
      <alignment horizontal="right"/>
    </xf>
    <xf numFmtId="14" fontId="27" fillId="0" borderId="0" xfId="0" applyNumberFormat="1" applyFont="1" applyFill="1" applyAlignment="1">
      <alignment horizontal="left"/>
    </xf>
    <xf numFmtId="0" fontId="27" fillId="0" borderId="0" xfId="0" applyFont="1" applyFill="1" applyAlignment="1">
      <alignment horizontal="center"/>
    </xf>
    <xf numFmtId="4" fontId="16" fillId="0" borderId="0" xfId="0" applyNumberFormat="1" applyFont="1" applyFill="1"/>
    <xf numFmtId="0" fontId="44" fillId="0" borderId="15" xfId="0" applyFont="1" applyFill="1" applyBorder="1" applyAlignment="1">
      <alignment horizontal="center"/>
    </xf>
    <xf numFmtId="4" fontId="15" fillId="7" borderId="0" xfId="0" applyNumberFormat="1" applyFont="1" applyFill="1" applyAlignment="1">
      <alignment horizontal="right"/>
    </xf>
    <xf numFmtId="4" fontId="0" fillId="0" borderId="0" xfId="0" applyNumberFormat="1" applyFill="1"/>
    <xf numFmtId="40" fontId="15" fillId="0" borderId="0" xfId="0" applyNumberFormat="1" applyFont="1" applyFill="1" applyAlignment="1">
      <alignment horizontal="right"/>
    </xf>
    <xf numFmtId="12" fontId="15" fillId="0" borderId="0" xfId="29" applyNumberFormat="1" applyFont="1" applyFill="1" applyAlignment="1">
      <alignment horizontal="center"/>
    </xf>
    <xf numFmtId="0" fontId="15" fillId="0" borderId="0" xfId="29" applyFont="1" applyFill="1" applyAlignment="1">
      <alignment horizontal="left"/>
    </xf>
    <xf numFmtId="0" fontId="16" fillId="0" borderId="15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0" xfId="29" applyNumberFormat="1" applyFont="1" applyFill="1" applyAlignment="1">
      <alignment horizontal="left"/>
    </xf>
    <xf numFmtId="196" fontId="45" fillId="0" borderId="0" xfId="29" applyNumberFormat="1" applyFont="1" applyFill="1" applyAlignment="1">
      <alignment horizontal="left"/>
    </xf>
    <xf numFmtId="0" fontId="21" fillId="0" borderId="0" xfId="0" applyFont="1" applyFill="1"/>
    <xf numFmtId="0" fontId="45" fillId="0" borderId="0" xfId="29" applyNumberFormat="1" applyFont="1" applyFill="1" applyAlignment="1">
      <alignment horizontal="left"/>
    </xf>
    <xf numFmtId="12" fontId="45" fillId="0" borderId="0" xfId="29" applyNumberFormat="1" applyFont="1" applyFill="1" applyAlignment="1">
      <alignment horizontal="center"/>
    </xf>
    <xf numFmtId="4" fontId="45" fillId="0" borderId="0" xfId="0" applyNumberFormat="1" applyFont="1" applyFill="1" applyAlignment="1">
      <alignment horizontal="right"/>
    </xf>
    <xf numFmtId="4" fontId="45" fillId="0" borderId="0" xfId="29" applyNumberFormat="1" applyFont="1" applyFill="1" applyAlignment="1">
      <alignment horizontal="right"/>
    </xf>
    <xf numFmtId="4" fontId="15" fillId="0" borderId="0" xfId="0" applyNumberFormat="1" applyFont="1" applyFill="1" applyAlignment="1">
      <alignment vertical="center"/>
    </xf>
    <xf numFmtId="4" fontId="16" fillId="0" borderId="8" xfId="0" applyNumberFormat="1" applyFont="1" applyFill="1" applyBorder="1"/>
    <xf numFmtId="0" fontId="16" fillId="0" borderId="0" xfId="0" applyFont="1" applyFill="1" applyAlignment="1">
      <alignment horizontal="center" vertical="center"/>
    </xf>
    <xf numFmtId="4" fontId="16" fillId="0" borderId="16" xfId="0" applyNumberFormat="1" applyFont="1" applyFill="1" applyBorder="1" applyAlignment="1">
      <alignment vertical="center"/>
    </xf>
    <xf numFmtId="4" fontId="16" fillId="5" borderId="0" xfId="0" applyNumberFormat="1" applyFont="1" applyFill="1" applyBorder="1" applyAlignment="1">
      <alignment vertical="center"/>
    </xf>
    <xf numFmtId="40" fontId="15" fillId="0" borderId="0" xfId="0" applyNumberFormat="1" applyFont="1" applyFill="1" applyBorder="1"/>
    <xf numFmtId="4" fontId="27" fillId="0" borderId="0" xfId="0" applyNumberFormat="1" applyFont="1" applyFill="1"/>
    <xf numFmtId="0" fontId="46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/>
    </xf>
    <xf numFmtId="0" fontId="37" fillId="0" borderId="0" xfId="0" applyFont="1" applyFill="1" applyAlignment="1">
      <alignment horizontal="left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 vertical="center"/>
    </xf>
    <xf numFmtId="0" fontId="44" fillId="0" borderId="15" xfId="0" applyFont="1" applyFill="1" applyBorder="1" applyAlignment="1">
      <alignment horizontal="center" vertical="center"/>
    </xf>
    <xf numFmtId="0" fontId="47" fillId="0" borderId="0" xfId="0" applyFont="1" applyFill="1"/>
    <xf numFmtId="4" fontId="37" fillId="0" borderId="0" xfId="0" applyNumberFormat="1" applyFont="1" applyFill="1" applyBorder="1" applyAlignment="1">
      <alignment horizontal="right" vertical="center"/>
    </xf>
    <xf numFmtId="0" fontId="37" fillId="0" borderId="0" xfId="0" applyFont="1" applyFill="1" applyBorder="1" applyAlignment="1">
      <alignment horizontal="left" vertical="center"/>
    </xf>
    <xf numFmtId="4" fontId="44" fillId="0" borderId="0" xfId="0" applyNumberFormat="1" applyFont="1" applyFill="1" applyBorder="1" applyAlignment="1">
      <alignment horizontal="right" vertical="center"/>
    </xf>
    <xf numFmtId="0" fontId="37" fillId="0" borderId="0" xfId="0" applyFont="1" applyFill="1" applyBorder="1" applyAlignment="1">
      <alignment horizontal="center" vertical="center"/>
    </xf>
    <xf numFmtId="4" fontId="44" fillId="0" borderId="14" xfId="0" applyNumberFormat="1" applyFont="1" applyFill="1" applyBorder="1" applyAlignment="1">
      <alignment horizontal="right"/>
    </xf>
    <xf numFmtId="4" fontId="44" fillId="0" borderId="0" xfId="0" applyNumberFormat="1" applyFont="1" applyFill="1" applyBorder="1" applyAlignment="1">
      <alignment horizontal="right"/>
    </xf>
    <xf numFmtId="0" fontId="37" fillId="0" borderId="0" xfId="0" applyFont="1" applyFill="1" applyAlignment="1">
      <alignment wrapText="1"/>
    </xf>
    <xf numFmtId="0" fontId="15" fillId="0" borderId="0" xfId="0" applyNumberFormat="1" applyFont="1" applyFill="1" applyAlignment="1">
      <alignment horizontal="center"/>
    </xf>
    <xf numFmtId="4" fontId="15" fillId="0" borderId="0" xfId="0" applyNumberFormat="1" applyFont="1" applyFill="1" applyAlignment="1">
      <alignment horizontal="right"/>
    </xf>
    <xf numFmtId="40" fontId="15" fillId="0" borderId="0" xfId="29" applyNumberFormat="1" applyFont="1" applyFill="1" applyAlignment="1">
      <alignment horizontal="right"/>
    </xf>
    <xf numFmtId="4" fontId="37" fillId="0" borderId="0" xfId="0" applyNumberFormat="1" applyFont="1" applyFill="1" applyBorder="1"/>
    <xf numFmtId="4" fontId="37" fillId="0" borderId="0" xfId="0" applyNumberFormat="1" applyFont="1" applyFill="1" applyBorder="1" applyAlignment="1"/>
    <xf numFmtId="40" fontId="27" fillId="0" borderId="15" xfId="0" applyNumberFormat="1" applyFont="1" applyFill="1" applyBorder="1"/>
    <xf numFmtId="4" fontId="44" fillId="0" borderId="8" xfId="0" applyNumberFormat="1" applyFont="1" applyFill="1" applyBorder="1" applyAlignment="1">
      <alignment vertical="center"/>
    </xf>
    <xf numFmtId="4" fontId="44" fillId="0" borderId="0" xfId="0" applyNumberFormat="1" applyFont="1" applyFill="1" applyBorder="1" applyAlignment="1">
      <alignment vertical="center"/>
    </xf>
    <xf numFmtId="40" fontId="43" fillId="5" borderId="0" xfId="0" applyNumberFormat="1" applyFont="1" applyFill="1"/>
    <xf numFmtId="4" fontId="41" fillId="0" borderId="2" xfId="0" applyNumberFormat="1" applyFont="1" applyFill="1" applyBorder="1"/>
    <xf numFmtId="4" fontId="41" fillId="5" borderId="2" xfId="0" applyNumberFormat="1" applyFont="1" applyFill="1" applyBorder="1"/>
    <xf numFmtId="0" fontId="48" fillId="0" borderId="0" xfId="0" applyFont="1" applyFill="1" applyAlignment="1">
      <alignment horizontal="center"/>
    </xf>
    <xf numFmtId="4" fontId="43" fillId="0" borderId="0" xfId="0" applyNumberFormat="1" applyFont="1" applyFill="1"/>
    <xf numFmtId="40" fontId="22" fillId="0" borderId="1" xfId="0" applyNumberFormat="1" applyFont="1" applyFill="1" applyBorder="1" applyAlignment="1">
      <alignment horizontal="center"/>
    </xf>
    <xf numFmtId="0" fontId="4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/>
    </xf>
    <xf numFmtId="0" fontId="41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43" fontId="23" fillId="5" borderId="1" xfId="1" applyFont="1" applyFill="1" applyBorder="1" applyAlignment="1">
      <alignment horizontal="left"/>
    </xf>
    <xf numFmtId="14" fontId="37" fillId="0" borderId="0" xfId="0" applyNumberFormat="1" applyFont="1" applyFill="1"/>
    <xf numFmtId="4" fontId="37" fillId="8" borderId="0" xfId="0" applyNumberFormat="1" applyFont="1" applyFill="1"/>
    <xf numFmtId="14" fontId="45" fillId="0" borderId="0" xfId="0" applyNumberFormat="1" applyFont="1" applyFill="1" applyAlignment="1">
      <alignment horizontal="left"/>
    </xf>
    <xf numFmtId="0" fontId="1" fillId="0" borderId="0" xfId="0" applyFont="1" applyFill="1" applyBorder="1"/>
    <xf numFmtId="40" fontId="0" fillId="0" borderId="0" xfId="0" applyNumberFormat="1" applyBorder="1"/>
    <xf numFmtId="0" fontId="15" fillId="0" borderId="0" xfId="0" applyFont="1" applyFill="1" applyAlignment="1">
      <alignment horizontal="center"/>
    </xf>
    <xf numFmtId="4" fontId="15" fillId="0" borderId="0" xfId="0" applyNumberFormat="1" applyFont="1" applyFill="1" applyBorder="1" applyAlignment="1">
      <alignment horizontal="right"/>
    </xf>
    <xf numFmtId="4" fontId="15" fillId="0" borderId="15" xfId="0" applyNumberFormat="1" applyFont="1" applyFill="1" applyBorder="1" applyAlignment="1">
      <alignment horizontal="right"/>
    </xf>
    <xf numFmtId="0" fontId="45" fillId="0" borderId="0" xfId="0" applyFont="1" applyFill="1" applyAlignment="1">
      <alignment horizontal="left"/>
    </xf>
    <xf numFmtId="0" fontId="45" fillId="0" borderId="0" xfId="0" applyFont="1" applyFill="1" applyAlignment="1">
      <alignment horizontal="center"/>
    </xf>
    <xf numFmtId="40" fontId="45" fillId="0" borderId="0" xfId="0" applyNumberFormat="1" applyFont="1" applyFill="1" applyAlignment="1">
      <alignment horizontal="center"/>
    </xf>
    <xf numFmtId="4" fontId="16" fillId="5" borderId="14" xfId="0" applyNumberFormat="1" applyFont="1" applyFill="1" applyBorder="1"/>
    <xf numFmtId="40" fontId="15" fillId="0" borderId="0" xfId="0" applyNumberFormat="1" applyFont="1" applyFill="1" applyAlignment="1">
      <alignment vertical="center"/>
    </xf>
    <xf numFmtId="4" fontId="16" fillId="5" borderId="8" xfId="0" applyNumberFormat="1" applyFont="1" applyFill="1" applyBorder="1"/>
    <xf numFmtId="40" fontId="43" fillId="0" borderId="0" xfId="0" applyNumberFormat="1" applyFont="1" applyFill="1"/>
    <xf numFmtId="175" fontId="27" fillId="0" borderId="0" xfId="0" applyNumberFormat="1" applyFont="1" applyFill="1"/>
    <xf numFmtId="0" fontId="33" fillId="0" borderId="0" xfId="0" applyFont="1" applyFill="1" applyAlignment="1">
      <alignment horizontal="center"/>
    </xf>
    <xf numFmtId="0" fontId="49" fillId="0" borderId="0" xfId="0" applyFont="1" applyAlignment="1">
      <alignment horizontal="left"/>
    </xf>
    <xf numFmtId="0" fontId="49" fillId="0" borderId="0" xfId="0" applyFont="1" applyAlignment="1">
      <alignment horizontal="center"/>
    </xf>
    <xf numFmtId="40" fontId="49" fillId="0" borderId="0" xfId="0" applyNumberFormat="1" applyFont="1" applyAlignment="1">
      <alignment horizontal="right"/>
    </xf>
    <xf numFmtId="40" fontId="43" fillId="0" borderId="15" xfId="0" applyNumberFormat="1" applyFont="1" applyFill="1" applyBorder="1"/>
    <xf numFmtId="40" fontId="43" fillId="0" borderId="2" xfId="0" applyNumberFormat="1" applyFont="1" applyFill="1" applyBorder="1"/>
    <xf numFmtId="4" fontId="44" fillId="8" borderId="0" xfId="0" applyNumberFormat="1" applyFont="1" applyFill="1" applyBorder="1" applyAlignment="1">
      <alignment horizontal="right" vertical="center"/>
    </xf>
    <xf numFmtId="4" fontId="44" fillId="8" borderId="14" xfId="0" applyNumberFormat="1" applyFont="1" applyFill="1" applyBorder="1" applyAlignment="1">
      <alignment horizontal="right"/>
    </xf>
    <xf numFmtId="4" fontId="44" fillId="8" borderId="8" xfId="0" applyNumberFormat="1" applyFont="1" applyFill="1" applyBorder="1" applyAlignment="1">
      <alignment vertical="center"/>
    </xf>
    <xf numFmtId="4" fontId="41" fillId="8" borderId="0" xfId="0" applyNumberFormat="1" applyFont="1" applyFill="1" applyBorder="1"/>
    <xf numFmtId="0" fontId="43" fillId="0" borderId="0" xfId="0" applyFont="1" applyFill="1" applyAlignment="1">
      <alignment horizontal="center"/>
    </xf>
    <xf numFmtId="4" fontId="27" fillId="5" borderId="0" xfId="0" applyNumberFormat="1" applyFont="1" applyFill="1"/>
    <xf numFmtId="4" fontId="43" fillId="9" borderId="0" xfId="0" applyNumberFormat="1" applyFont="1" applyFill="1"/>
    <xf numFmtId="0" fontId="0" fillId="0" borderId="1" xfId="0" applyFill="1" applyBorder="1"/>
    <xf numFmtId="40" fontId="0" fillId="0" borderId="1" xfId="0" applyNumberFormat="1" applyFill="1" applyBorder="1"/>
    <xf numFmtId="40" fontId="0" fillId="0" borderId="1" xfId="0" applyNumberFormat="1" applyFill="1" applyBorder="1" applyAlignment="1">
      <alignment horizontal="center"/>
    </xf>
    <xf numFmtId="0" fontId="23" fillId="0" borderId="1" xfId="0" applyFont="1" applyFill="1" applyBorder="1" applyAlignment="1"/>
    <xf numFmtId="0" fontId="25" fillId="0" borderId="0" xfId="0" applyFont="1" applyFill="1" applyAlignment="1">
      <alignment horizontal="center"/>
    </xf>
    <xf numFmtId="40" fontId="22" fillId="0" borderId="1" xfId="0" applyNumberFormat="1" applyFont="1" applyFill="1" applyBorder="1" applyAlignment="1">
      <alignment horizontal="center"/>
    </xf>
    <xf numFmtId="0" fontId="4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/>
    </xf>
    <xf numFmtId="0" fontId="41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196" fontId="15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left"/>
    </xf>
    <xf numFmtId="40" fontId="0" fillId="0" borderId="0" xfId="0" applyNumberFormat="1" applyFill="1" applyBorder="1"/>
    <xf numFmtId="43" fontId="15" fillId="0" borderId="0" xfId="1" applyFont="1" applyFill="1" applyAlignment="1">
      <alignment horizontal="right"/>
    </xf>
    <xf numFmtId="43" fontId="15" fillId="0" borderId="15" xfId="1" applyFont="1" applyFill="1" applyBorder="1" applyAlignment="1">
      <alignment horizontal="right"/>
    </xf>
    <xf numFmtId="43" fontId="15" fillId="0" borderId="0" xfId="1" applyFont="1" applyFill="1" applyBorder="1" applyAlignment="1">
      <alignment horizontal="right"/>
    </xf>
    <xf numFmtId="4" fontId="16" fillId="9" borderId="0" xfId="0" applyNumberFormat="1" applyFont="1" applyFill="1" applyBorder="1" applyAlignment="1">
      <alignment vertical="center"/>
    </xf>
    <xf numFmtId="40" fontId="27" fillId="0" borderId="0" xfId="0" applyNumberFormat="1" applyFont="1" applyFill="1" applyBorder="1"/>
    <xf numFmtId="4" fontId="44" fillId="10" borderId="14" xfId="0" applyNumberFormat="1" applyFont="1" applyFill="1" applyBorder="1" applyAlignment="1">
      <alignment horizontal="right"/>
    </xf>
    <xf numFmtId="4" fontId="15" fillId="10" borderId="0" xfId="29" applyNumberFormat="1" applyFont="1" applyFill="1" applyAlignment="1">
      <alignment horizontal="right"/>
    </xf>
    <xf numFmtId="40" fontId="49" fillId="5" borderId="0" xfId="0" applyNumberFormat="1" applyFont="1" applyFill="1" applyBorder="1" applyAlignment="1">
      <alignment horizontal="right"/>
    </xf>
    <xf numFmtId="4" fontId="44" fillId="0" borderId="0" xfId="0" applyNumberFormat="1" applyFont="1" applyFill="1" applyBorder="1"/>
    <xf numFmtId="4" fontId="41" fillId="0" borderId="0" xfId="0" applyNumberFormat="1" applyFont="1" applyFill="1" applyBorder="1"/>
    <xf numFmtId="4" fontId="15" fillId="0" borderId="15" xfId="0" applyNumberFormat="1" applyFont="1" applyFill="1" applyBorder="1"/>
    <xf numFmtId="43" fontId="23" fillId="11" borderId="1" xfId="1" applyFont="1" applyFill="1" applyBorder="1" applyAlignment="1">
      <alignment horizontal="left"/>
    </xf>
    <xf numFmtId="40" fontId="2" fillId="0" borderId="0" xfId="0" applyNumberFormat="1" applyFont="1" applyFill="1" applyBorder="1" applyAlignment="1">
      <alignment horizontal="right" wrapText="1"/>
    </xf>
    <xf numFmtId="40" fontId="0" fillId="0" borderId="3" xfId="0" applyNumberFormat="1" applyBorder="1"/>
    <xf numFmtId="0" fontId="25" fillId="0" borderId="0" xfId="0" applyFont="1" applyAlignment="1">
      <alignment horizontal="center" vertical="center"/>
    </xf>
    <xf numFmtId="0" fontId="7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30" fillId="0" borderId="0" xfId="149" applyFont="1" applyFill="1" applyAlignment="1">
      <alignment horizontal="center"/>
    </xf>
    <xf numFmtId="0" fontId="6" fillId="0" borderId="0" xfId="149" applyFont="1" applyFill="1" applyAlignment="1">
      <alignment horizontal="center"/>
    </xf>
    <xf numFmtId="0" fontId="1" fillId="0" borderId="0" xfId="149" applyAlignment="1">
      <alignment horizontal="center"/>
    </xf>
    <xf numFmtId="0" fontId="23" fillId="0" borderId="0" xfId="149" applyFont="1" applyAlignment="1">
      <alignment horizontal="center"/>
    </xf>
    <xf numFmtId="0" fontId="14" fillId="0" borderId="0" xfId="149" applyFont="1" applyFill="1" applyBorder="1" applyAlignment="1">
      <alignment horizontal="center"/>
    </xf>
    <xf numFmtId="0" fontId="50" fillId="0" borderId="0" xfId="0" applyFont="1" applyFill="1" applyAlignment="1">
      <alignment horizontal="center"/>
    </xf>
    <xf numFmtId="0" fontId="51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52" fillId="4" borderId="17" xfId="0" applyFont="1" applyFill="1" applyBorder="1" applyAlignment="1">
      <alignment horizontal="center"/>
    </xf>
    <xf numFmtId="0" fontId="52" fillId="4" borderId="18" xfId="0" applyFont="1" applyFill="1" applyBorder="1" applyAlignment="1">
      <alignment horizontal="center"/>
    </xf>
    <xf numFmtId="0" fontId="52" fillId="4" borderId="19" xfId="0" applyFont="1" applyFill="1" applyBorder="1" applyAlignment="1">
      <alignment horizontal="center"/>
    </xf>
    <xf numFmtId="43" fontId="33" fillId="4" borderId="8" xfId="1" applyFont="1" applyFill="1" applyBorder="1" applyAlignment="1">
      <alignment horizontal="left"/>
    </xf>
    <xf numFmtId="0" fontId="11" fillId="0" borderId="0" xfId="149" applyFont="1" applyAlignment="1">
      <alignment horizontal="center"/>
    </xf>
    <xf numFmtId="0" fontId="12" fillId="0" borderId="0" xfId="149" applyFont="1" applyFill="1" applyAlignment="1">
      <alignment horizontal="center"/>
    </xf>
    <xf numFmtId="40" fontId="22" fillId="0" borderId="1" xfId="0" applyNumberFormat="1" applyFont="1" applyFill="1" applyBorder="1" applyAlignment="1">
      <alignment horizontal="center"/>
    </xf>
    <xf numFmtId="0" fontId="4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/>
    </xf>
    <xf numFmtId="0" fontId="41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0" fontId="11" fillId="0" borderId="0" xfId="149" applyFont="1" applyAlignment="1">
      <alignment horizontal="left"/>
    </xf>
    <xf numFmtId="0" fontId="1" fillId="0" borderId="0" xfId="149" applyAlignment="1">
      <alignment horizontal="left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37190" name="Picture 10">
          <a:extLst>
            <a:ext uri="{FF2B5EF4-FFF2-40B4-BE49-F238E27FC236}">
              <a16:creationId xmlns:a16="http://schemas.microsoft.com/office/drawing/2014/main" id="{0ADCE040-6F4E-4491-A6FF-72F6D334A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1562100</xdr:colOff>
      <xdr:row>1</xdr:row>
      <xdr:rowOff>47626</xdr:rowOff>
    </xdr:from>
    <xdr:to>
      <xdr:col>9</xdr:col>
      <xdr:colOff>180975</xdr:colOff>
      <xdr:row>9</xdr:row>
      <xdr:rowOff>27430</xdr:rowOff>
    </xdr:to>
    <xdr:pic>
      <xdr:nvPicPr>
        <xdr:cNvPr id="37191" name="Imagen 1">
          <a:extLst>
            <a:ext uri="{FF2B5EF4-FFF2-40B4-BE49-F238E27FC236}">
              <a16:creationId xmlns:a16="http://schemas.microsoft.com/office/drawing/2014/main" id="{1C0731EF-B96B-49E0-AA5D-2FAB4B37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238126"/>
          <a:ext cx="11134725" cy="1503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11</xdr:col>
      <xdr:colOff>552450</xdr:colOff>
      <xdr:row>6</xdr:row>
      <xdr:rowOff>180975</xdr:rowOff>
    </xdr:to>
    <xdr:pic>
      <xdr:nvPicPr>
        <xdr:cNvPr id="49199" name="Imagen 1">
          <a:extLst>
            <a:ext uri="{FF2B5EF4-FFF2-40B4-BE49-F238E27FC236}">
              <a16:creationId xmlns:a16="http://schemas.microsoft.com/office/drawing/2014/main" id="{85632D03-A943-44AA-9D71-C72B4AB51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8575"/>
          <a:ext cx="122682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331</xdr:row>
      <xdr:rowOff>171450</xdr:rowOff>
    </xdr:from>
    <xdr:to>
      <xdr:col>3</xdr:col>
      <xdr:colOff>1607910</xdr:colOff>
      <xdr:row>331</xdr:row>
      <xdr:rowOff>175683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3651CAD-4DE1-4E99-B907-91460E7DE94A}"/>
            </a:ext>
          </a:extLst>
        </xdr:cNvPr>
        <xdr:cNvCxnSpPr/>
      </xdr:nvCxnSpPr>
      <xdr:spPr>
        <a:xfrm>
          <a:off x="2724150" y="6634162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0</xdr:row>
      <xdr:rowOff>28575</xdr:rowOff>
    </xdr:from>
    <xdr:to>
      <xdr:col>6</xdr:col>
      <xdr:colOff>714375</xdr:colOff>
      <xdr:row>6</xdr:row>
      <xdr:rowOff>180975</xdr:rowOff>
    </xdr:to>
    <xdr:pic>
      <xdr:nvPicPr>
        <xdr:cNvPr id="43225" name="Imagen 1">
          <a:extLst>
            <a:ext uri="{FF2B5EF4-FFF2-40B4-BE49-F238E27FC236}">
              <a16:creationId xmlns:a16="http://schemas.microsoft.com/office/drawing/2014/main" id="{67318CA3-D08A-4C9C-BABA-3CF788726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28575"/>
          <a:ext cx="71056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397</xdr:row>
      <xdr:rowOff>171450</xdr:rowOff>
    </xdr:from>
    <xdr:to>
      <xdr:col>3</xdr:col>
      <xdr:colOff>1607910</xdr:colOff>
      <xdr:row>397</xdr:row>
      <xdr:rowOff>175683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2A2F997-4C7E-42AA-A8FD-0C3D2988301D}"/>
            </a:ext>
          </a:extLst>
        </xdr:cNvPr>
        <xdr:cNvCxnSpPr/>
      </xdr:nvCxnSpPr>
      <xdr:spPr>
        <a:xfrm>
          <a:off x="2724150" y="795432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</xdr:colOff>
      <xdr:row>328</xdr:row>
      <xdr:rowOff>171450</xdr:rowOff>
    </xdr:from>
    <xdr:to>
      <xdr:col>3</xdr:col>
      <xdr:colOff>1607910</xdr:colOff>
      <xdr:row>328</xdr:row>
      <xdr:rowOff>175683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6212DE8-F1FD-4014-AFEC-A8D7228746B7}"/>
            </a:ext>
          </a:extLst>
        </xdr:cNvPr>
        <xdr:cNvCxnSpPr/>
      </xdr:nvCxnSpPr>
      <xdr:spPr>
        <a:xfrm>
          <a:off x="2724150" y="65741550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</xdr:colOff>
      <xdr:row>328</xdr:row>
      <xdr:rowOff>171450</xdr:rowOff>
    </xdr:from>
    <xdr:to>
      <xdr:col>3</xdr:col>
      <xdr:colOff>1607910</xdr:colOff>
      <xdr:row>328</xdr:row>
      <xdr:rowOff>175683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C84625A6-3E31-454A-BFA0-B96348EB76C5}"/>
            </a:ext>
          </a:extLst>
        </xdr:cNvPr>
        <xdr:cNvCxnSpPr/>
      </xdr:nvCxnSpPr>
      <xdr:spPr>
        <a:xfrm>
          <a:off x="2724150" y="65741550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47237" name="Picture 10">
          <a:extLst>
            <a:ext uri="{FF2B5EF4-FFF2-40B4-BE49-F238E27FC236}">
              <a16:creationId xmlns:a16="http://schemas.microsoft.com/office/drawing/2014/main" id="{2BEB7A20-D6E1-4E29-8E28-996A7D8CE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104775</xdr:rowOff>
    </xdr:from>
    <xdr:to>
      <xdr:col>9</xdr:col>
      <xdr:colOff>504825</xdr:colOff>
      <xdr:row>8</xdr:row>
      <xdr:rowOff>76200</xdr:rowOff>
    </xdr:to>
    <xdr:pic>
      <xdr:nvPicPr>
        <xdr:cNvPr id="47238" name="Imagen 1">
          <a:extLst>
            <a:ext uri="{FF2B5EF4-FFF2-40B4-BE49-F238E27FC236}">
              <a16:creationId xmlns:a16="http://schemas.microsoft.com/office/drawing/2014/main" id="{CDF9743D-A14E-465F-8EE5-524B8AA3C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04775"/>
          <a:ext cx="1309687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46243" name="Picture 10">
          <a:extLst>
            <a:ext uri="{FF2B5EF4-FFF2-40B4-BE49-F238E27FC236}">
              <a16:creationId xmlns:a16="http://schemas.microsoft.com/office/drawing/2014/main" id="{A0518E23-2408-4DBE-95CC-897D43332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28575</xdr:rowOff>
    </xdr:from>
    <xdr:to>
      <xdr:col>18</xdr:col>
      <xdr:colOff>342900</xdr:colOff>
      <xdr:row>8</xdr:row>
      <xdr:rowOff>38100</xdr:rowOff>
    </xdr:to>
    <xdr:pic>
      <xdr:nvPicPr>
        <xdr:cNvPr id="46244" name="Imagen 1">
          <a:extLst>
            <a:ext uri="{FF2B5EF4-FFF2-40B4-BE49-F238E27FC236}">
              <a16:creationId xmlns:a16="http://schemas.microsoft.com/office/drawing/2014/main" id="{E939A1A0-B8B3-4E42-B574-E886B61D8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19075"/>
          <a:ext cx="180879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44197" name="Picture 10">
          <a:extLst>
            <a:ext uri="{FF2B5EF4-FFF2-40B4-BE49-F238E27FC236}">
              <a16:creationId xmlns:a16="http://schemas.microsoft.com/office/drawing/2014/main" id="{B5630D8B-8FC9-49C3-B77B-5F55810A8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142875</xdr:rowOff>
    </xdr:from>
    <xdr:to>
      <xdr:col>18</xdr:col>
      <xdr:colOff>133350</xdr:colOff>
      <xdr:row>7</xdr:row>
      <xdr:rowOff>47625</xdr:rowOff>
    </xdr:to>
    <xdr:pic>
      <xdr:nvPicPr>
        <xdr:cNvPr id="44198" name="Imagen 1">
          <a:extLst>
            <a:ext uri="{FF2B5EF4-FFF2-40B4-BE49-F238E27FC236}">
              <a16:creationId xmlns:a16="http://schemas.microsoft.com/office/drawing/2014/main" id="{BE190325-0D65-49A8-8173-BCFEC8A6D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42875"/>
          <a:ext cx="174974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6</xdr:col>
      <xdr:colOff>1028700</xdr:colOff>
      <xdr:row>6</xdr:row>
      <xdr:rowOff>180975</xdr:rowOff>
    </xdr:to>
    <xdr:pic>
      <xdr:nvPicPr>
        <xdr:cNvPr id="42067" name="Imagen 1">
          <a:extLst>
            <a:ext uri="{FF2B5EF4-FFF2-40B4-BE49-F238E27FC236}">
              <a16:creationId xmlns:a16="http://schemas.microsoft.com/office/drawing/2014/main" id="{A3E65264-F113-4BDB-8C72-21890B510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8575"/>
          <a:ext cx="82772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febriel.INESPRE/Desktop/FLUJOS/FLUJOS%202021/FLUJO%20DE%20EFECTIVO%20ENERO-DICIEMBRE%20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febriel.INESPRE/Desktop/ESTADOS%20Y%20CONCILIACIONES/PERIODO%202021/CUENTA,%20GERENCIA%20DE%20SUPERMERCADOS,SEPTIEMBRE%202021,%202021%20240-010599-0%20(1)%20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febriel.INESPRE/Desktop/OLAI/PERIODO%202021/RELACION_DE_INGRESOS_Y_EGRESO_OCTUBRE_2021-V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febriel.INESPRE/Desktop/ESTADOS%20Y%20CONCILIACIONES/PERIODO%202021/CUENTA,%20GERENCIA%20DE%20SUPERMERCADOS,NOVIEMBRE%202021,%202021%20240-010599-0%20(1)%20-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febriel.INESPRE/Desktop/OLAI/PERIODO%202021/RELACION_DE_INGRESOS_Y_EGRESO_NOVIEMBRE_2021-V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  <sheetName val="NOV.-PAGOS"/>
      <sheetName val="NOV-ING."/>
      <sheetName val="DICIEMBRE"/>
      <sheetName val="OCT.-PAGOS"/>
      <sheetName val="OCT.-ING."/>
      <sheetName val="SEPT.-PAGOS"/>
      <sheetName val="SEPT.-ING"/>
      <sheetName val="AGOSTO-PAGOS"/>
      <sheetName val="AGOSTO-ING."/>
      <sheetName val="Hoja3"/>
      <sheetName val="JULIO-PAGO"/>
      <sheetName val="JULIO-ING."/>
      <sheetName val="Hoja5"/>
      <sheetName val="JUNIO-PAGO"/>
      <sheetName val="TRANSITO"/>
      <sheetName val="JUNIO-ING"/>
      <sheetName val="MAYO-PAGOS"/>
      <sheetName val="MAYO-ING"/>
      <sheetName val="ABR-PAGOS"/>
      <sheetName val="ABR-ING."/>
      <sheetName val="BANCO"/>
      <sheetName val="TRANS.ABR"/>
      <sheetName val="Hoja2"/>
      <sheetName val="MAR-PAGOS"/>
      <sheetName val="MAR-ING"/>
      <sheetName val="FEB-PAGOS"/>
      <sheetName val="FEB-ING."/>
      <sheetName val="Hoja1"/>
      <sheetName val="ENE-PAGOS"/>
      <sheetName val="PAGOS-RET"/>
      <sheetName val="ENE-ING"/>
    </sheetNames>
    <sheetDataSet>
      <sheetData sheetId="0">
        <row r="102">
          <cell r="L102">
            <v>200732683.31313556</v>
          </cell>
          <cell r="M102">
            <v>189236434.06999999</v>
          </cell>
        </row>
      </sheetData>
      <sheetData sheetId="1"/>
      <sheetData sheetId="2"/>
      <sheetData sheetId="3"/>
      <sheetData sheetId="4"/>
      <sheetData sheetId="5">
        <row r="85">
          <cell r="D85">
            <v>2296.5300000000002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CONFIRMACION BALANCE"/>
      <sheetName val="DEPOSITOS"/>
      <sheetName val="EMITIDOS"/>
      <sheetName val="PAGADOS"/>
      <sheetName val="TRANSITO DEL MES"/>
      <sheetName val="TRANSITO ANT"/>
      <sheetName val="Estado Bancario"/>
      <sheetName val="Hoja1"/>
      <sheetName val="Hoja2"/>
      <sheetName val="Hoja3"/>
      <sheetName val="Hoja4"/>
      <sheetName val="Hoja5"/>
      <sheetName val="Hoja6"/>
      <sheetName val="COMFIRMACION BALANCE"/>
      <sheetName val="DEPOSI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D8">
            <v>176755.03</v>
          </cell>
        </row>
        <row r="317">
          <cell r="D317">
            <v>175</v>
          </cell>
        </row>
        <row r="766">
          <cell r="D766">
            <v>495541.18000000017</v>
          </cell>
        </row>
        <row r="769">
          <cell r="D769">
            <v>7132064.3700000001</v>
          </cell>
        </row>
      </sheetData>
      <sheetData sheetId="10">
        <row r="275">
          <cell r="E275">
            <v>136500</v>
          </cell>
        </row>
      </sheetData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 NO. 240-010599-0"/>
      <sheetName val="BANCO"/>
      <sheetName val="PAGOS-ORDEN"/>
      <sheetName val="PAGOS"/>
      <sheetName val="CR-ORDEN"/>
      <sheetName val="CREDITOS"/>
      <sheetName val="TRANSITO"/>
      <sheetName val="Hoja1"/>
      <sheetName val="Hoja2"/>
    </sheetNames>
    <sheetDataSet>
      <sheetData sheetId="0"/>
      <sheetData sheetId="1">
        <row r="14">
          <cell r="F14">
            <v>7738238.8300000001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CONFIRMACION BALANCE"/>
      <sheetName val="DEPOSITOS"/>
      <sheetName val="EMITIDOS"/>
      <sheetName val="PAGADOS"/>
      <sheetName val="TRANSITO DEL MES"/>
      <sheetName val="TRANSITO ANT"/>
      <sheetName val="Estado Bancario"/>
      <sheetName val="Hoja4"/>
      <sheetName val="Hoja5"/>
      <sheetName val="Hoja6"/>
      <sheetName val="Hoja7"/>
      <sheetName val="Hoja8"/>
      <sheetName val="Hoja1"/>
      <sheetName val="Hoja2"/>
      <sheetName val="COMFIRMACION BALANCE"/>
      <sheetName val="DEPOSI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3">
          <cell r="D13">
            <v>248502.64</v>
          </cell>
        </row>
        <row r="505">
          <cell r="D505">
            <v>504240.96000000025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 NO. 240-010599-0"/>
      <sheetName val="BANCO"/>
      <sheetName val="PAGOS-ORDEN"/>
      <sheetName val="PAGOS"/>
      <sheetName val="CR-ORDEN"/>
      <sheetName val="CREDITOS"/>
      <sheetName val="TRANSITO"/>
      <sheetName val="Hoja1"/>
      <sheetName val="Hoja2"/>
    </sheetNames>
    <sheetDataSet>
      <sheetData sheetId="0"/>
      <sheetData sheetId="1">
        <row r="14">
          <cell r="F14">
            <v>7771354.3200000003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J254"/>
  <sheetViews>
    <sheetView tabSelected="1" zoomScaleNormal="100" workbookViewId="0">
      <selection activeCell="E16" sqref="E16"/>
    </sheetView>
  </sheetViews>
  <sheetFormatPr baseColWidth="10" defaultColWidth="9.140625" defaultRowHeight="15"/>
  <cols>
    <col min="1" max="1" width="7.5703125" customWidth="1"/>
    <col min="2" max="2" width="48.7109375" style="126" customWidth="1"/>
    <col min="3" max="3" width="35" style="54" bestFit="1" customWidth="1"/>
    <col min="4" max="4" width="20" style="54" bestFit="1" customWidth="1"/>
    <col min="5" max="5" width="10.42578125" style="199" bestFit="1" customWidth="1"/>
    <col min="6" max="6" width="19.85546875" style="33" bestFit="1" customWidth="1"/>
    <col min="7" max="7" width="15" style="1" customWidth="1"/>
    <col min="8" max="8" width="18.140625" style="81" bestFit="1" customWidth="1"/>
    <col min="9" max="9" width="20.5703125" bestFit="1" customWidth="1"/>
    <col min="10" max="10" width="10.7109375" bestFit="1" customWidth="1"/>
  </cols>
  <sheetData>
    <row r="2" spans="2:10">
      <c r="B2" s="130"/>
      <c r="C2" s="51"/>
      <c r="D2" s="51"/>
      <c r="F2" s="45"/>
    </row>
    <row r="3" spans="2:10">
      <c r="B3" s="130"/>
      <c r="C3" s="51"/>
      <c r="D3" s="51"/>
      <c r="F3" s="45"/>
    </row>
    <row r="4" spans="2:10">
      <c r="B4" s="130"/>
      <c r="C4" s="52"/>
      <c r="D4" s="52"/>
      <c r="F4" s="45"/>
    </row>
    <row r="5" spans="2:10">
      <c r="B5" s="130"/>
      <c r="C5" s="52"/>
      <c r="D5" s="52"/>
      <c r="F5" s="45"/>
    </row>
    <row r="6" spans="2:10" s="79" customFormat="1">
      <c r="B6" s="130"/>
      <c r="C6" s="52"/>
      <c r="D6" s="52"/>
      <c r="E6" s="199"/>
      <c r="F6" s="45"/>
      <c r="G6" s="1"/>
      <c r="H6" s="81"/>
    </row>
    <row r="7" spans="2:10" s="79" customFormat="1">
      <c r="B7" s="130"/>
      <c r="C7" s="52"/>
      <c r="D7" s="52"/>
      <c r="E7" s="199"/>
      <c r="F7" s="45"/>
      <c r="G7" s="1"/>
      <c r="H7" s="81"/>
    </row>
    <row r="8" spans="2:10" s="79" customFormat="1">
      <c r="B8" s="130"/>
      <c r="C8" s="52"/>
      <c r="D8" s="52"/>
      <c r="E8" s="199"/>
      <c r="F8" s="45"/>
      <c r="G8" s="1"/>
      <c r="H8" s="81"/>
    </row>
    <row r="9" spans="2:10" s="117" customFormat="1">
      <c r="B9" s="130"/>
      <c r="C9" s="52"/>
      <c r="D9" s="52"/>
      <c r="E9" s="199"/>
      <c r="F9" s="45"/>
      <c r="G9" s="1"/>
      <c r="H9" s="110"/>
    </row>
    <row r="10" spans="2:10" s="117" customFormat="1">
      <c r="B10" s="130"/>
      <c r="C10" s="52"/>
      <c r="D10" s="52"/>
      <c r="E10" s="199"/>
      <c r="F10" s="45"/>
      <c r="G10" s="1"/>
      <c r="H10" s="110"/>
    </row>
    <row r="11" spans="2:10" ht="15.75">
      <c r="B11" s="387" t="s">
        <v>1442</v>
      </c>
      <c r="C11" s="387"/>
      <c r="D11" s="387"/>
      <c r="E11" s="387"/>
      <c r="F11" s="387"/>
      <c r="G11" s="387"/>
      <c r="H11" s="387"/>
      <c r="I11" s="387"/>
      <c r="J11" s="387"/>
    </row>
    <row r="12" spans="2:10" ht="15.75">
      <c r="B12" s="387" t="s">
        <v>2257</v>
      </c>
      <c r="C12" s="387"/>
      <c r="D12" s="387"/>
      <c r="E12" s="387"/>
      <c r="F12" s="387"/>
      <c r="G12" s="387"/>
      <c r="H12" s="387"/>
      <c r="I12" s="387"/>
      <c r="J12" s="387"/>
    </row>
    <row r="13" spans="2:10">
      <c r="B13" s="132"/>
      <c r="C13" s="53"/>
      <c r="D13" s="53"/>
      <c r="E13" s="200"/>
      <c r="F13" s="46"/>
    </row>
    <row r="14" spans="2:10" ht="3.75" customHeight="1"/>
    <row r="15" spans="2:10" s="4" customFormat="1" ht="29.25" customHeight="1">
      <c r="B15" s="9" t="s">
        <v>1438</v>
      </c>
      <c r="C15" s="55" t="s">
        <v>3</v>
      </c>
      <c r="D15" s="9" t="s">
        <v>1439</v>
      </c>
      <c r="E15" s="92" t="s">
        <v>1440</v>
      </c>
      <c r="F15" s="47" t="s">
        <v>1441</v>
      </c>
      <c r="G15" s="65" t="s">
        <v>1048</v>
      </c>
      <c r="H15" s="47" t="s">
        <v>1049</v>
      </c>
      <c r="I15" s="47" t="s">
        <v>1050</v>
      </c>
      <c r="J15" s="9" t="s">
        <v>1051</v>
      </c>
    </row>
    <row r="16" spans="2:10" s="88" customFormat="1">
      <c r="B16" s="360"/>
      <c r="C16" s="8"/>
      <c r="D16" s="8"/>
      <c r="E16" s="201"/>
      <c r="F16" s="48"/>
      <c r="G16" s="66"/>
      <c r="H16" s="89"/>
    </row>
    <row r="17" spans="1:10" s="109" customFormat="1">
      <c r="A17" s="155"/>
      <c r="B17" s="156" t="s">
        <v>1163</v>
      </c>
      <c r="C17" s="19" t="s">
        <v>102</v>
      </c>
      <c r="D17" s="25" t="s">
        <v>2153</v>
      </c>
      <c r="E17" s="10">
        <v>44205</v>
      </c>
      <c r="F17" s="32">
        <v>35400</v>
      </c>
      <c r="G17" s="10">
        <v>44205</v>
      </c>
      <c r="H17" s="32">
        <v>35400</v>
      </c>
      <c r="I17" s="90">
        <f>+F17-H17</f>
        <v>0</v>
      </c>
      <c r="J17" s="118" t="s">
        <v>1572</v>
      </c>
    </row>
    <row r="18" spans="1:10" s="117" customFormat="1">
      <c r="A18" s="155"/>
      <c r="B18" s="156" t="s">
        <v>1163</v>
      </c>
      <c r="C18" s="19" t="s">
        <v>102</v>
      </c>
      <c r="D18" s="25" t="s">
        <v>667</v>
      </c>
      <c r="E18" s="10">
        <v>44510</v>
      </c>
      <c r="F18" s="32">
        <v>35400</v>
      </c>
      <c r="G18" s="10">
        <v>44510</v>
      </c>
      <c r="H18" s="32">
        <v>35400</v>
      </c>
      <c r="I18" s="90">
        <f>+F18-H18</f>
        <v>0</v>
      </c>
      <c r="J18" s="118" t="s">
        <v>1572</v>
      </c>
    </row>
    <row r="19" spans="1:10" s="117" customFormat="1">
      <c r="A19" s="155"/>
      <c r="B19" s="156"/>
      <c r="C19" s="19"/>
      <c r="D19" s="25"/>
      <c r="E19" s="10"/>
      <c r="F19" s="32"/>
      <c r="G19" s="10"/>
      <c r="H19" s="32"/>
      <c r="I19" s="90"/>
      <c r="J19" s="118"/>
    </row>
    <row r="20" spans="1:10" s="117" customFormat="1">
      <c r="A20" s="155"/>
      <c r="B20" s="156" t="s">
        <v>1906</v>
      </c>
      <c r="C20" s="19" t="s">
        <v>570</v>
      </c>
      <c r="D20" s="25" t="s">
        <v>2154</v>
      </c>
      <c r="E20" s="10">
        <v>44387</v>
      </c>
      <c r="F20" s="32">
        <v>558376</v>
      </c>
      <c r="G20" s="10">
        <v>44387</v>
      </c>
      <c r="H20" s="32">
        <v>558376</v>
      </c>
      <c r="I20" s="90">
        <f>+F20-H20</f>
        <v>0</v>
      </c>
      <c r="J20" s="118" t="s">
        <v>1572</v>
      </c>
    </row>
    <row r="21" spans="1:10" s="117" customFormat="1">
      <c r="A21" s="155"/>
      <c r="B21" s="156"/>
      <c r="C21" s="19"/>
      <c r="D21" s="25"/>
      <c r="E21" s="10"/>
      <c r="F21" s="32"/>
      <c r="G21" s="10"/>
      <c r="H21" s="32"/>
      <c r="I21" s="90"/>
      <c r="J21" s="118"/>
    </row>
    <row r="22" spans="1:10" s="106" customFormat="1">
      <c r="A22" s="159"/>
      <c r="B22" s="156" t="s">
        <v>1455</v>
      </c>
      <c r="C22" s="19" t="s">
        <v>102</v>
      </c>
      <c r="D22" s="25" t="s">
        <v>2155</v>
      </c>
      <c r="E22" s="10" t="s">
        <v>2156</v>
      </c>
      <c r="F22" s="32">
        <v>23600</v>
      </c>
      <c r="G22" s="10" t="s">
        <v>2156</v>
      </c>
      <c r="H22" s="32">
        <v>23600</v>
      </c>
      <c r="I22" s="90">
        <f>+F22-H22</f>
        <v>0</v>
      </c>
      <c r="J22" s="118" t="s">
        <v>1572</v>
      </c>
    </row>
    <row r="23" spans="1:10" s="117" customFormat="1">
      <c r="A23" s="159"/>
      <c r="B23" s="156"/>
      <c r="C23" s="19"/>
      <c r="D23" s="25"/>
      <c r="E23" s="10"/>
      <c r="F23" s="32"/>
      <c r="G23" s="10"/>
      <c r="H23" s="32"/>
      <c r="I23" s="90"/>
      <c r="J23" s="118"/>
    </row>
    <row r="24" spans="1:10" s="117" customFormat="1">
      <c r="A24" s="159"/>
      <c r="B24" s="156" t="s">
        <v>1107</v>
      </c>
      <c r="C24" s="19" t="s">
        <v>102</v>
      </c>
      <c r="D24" s="25" t="s">
        <v>2157</v>
      </c>
      <c r="E24" s="10">
        <v>44207</v>
      </c>
      <c r="F24" s="32">
        <v>29500</v>
      </c>
      <c r="G24" s="10">
        <v>44207</v>
      </c>
      <c r="H24" s="32">
        <v>29500</v>
      </c>
      <c r="I24" s="90">
        <f>+F24-H24</f>
        <v>0</v>
      </c>
      <c r="J24" s="118" t="s">
        <v>1572</v>
      </c>
    </row>
    <row r="25" spans="1:10" s="117" customFormat="1">
      <c r="A25" s="159"/>
      <c r="B25" s="156"/>
      <c r="C25" s="19"/>
      <c r="D25" s="25"/>
      <c r="E25" s="10"/>
      <c r="F25" s="32"/>
      <c r="G25" s="10"/>
      <c r="H25" s="32"/>
      <c r="I25" s="90"/>
      <c r="J25" s="118"/>
    </row>
    <row r="26" spans="1:10" s="117" customFormat="1">
      <c r="A26" s="159"/>
      <c r="B26" s="156" t="s">
        <v>1485</v>
      </c>
      <c r="C26" s="19" t="s">
        <v>21</v>
      </c>
      <c r="D26" s="25" t="s">
        <v>2158</v>
      </c>
      <c r="E26" s="10">
        <v>44205</v>
      </c>
      <c r="F26" s="32">
        <v>36580</v>
      </c>
      <c r="G26" s="10">
        <v>44205</v>
      </c>
      <c r="H26" s="32">
        <v>36580</v>
      </c>
      <c r="I26" s="90">
        <f>+F26-H26</f>
        <v>0</v>
      </c>
      <c r="J26" s="118" t="s">
        <v>1572</v>
      </c>
    </row>
    <row r="27" spans="1:10" s="117" customFormat="1">
      <c r="A27" s="159"/>
      <c r="B27" s="156" t="s">
        <v>1485</v>
      </c>
      <c r="C27" s="19" t="s">
        <v>21</v>
      </c>
      <c r="D27" s="25" t="s">
        <v>2159</v>
      </c>
      <c r="E27" s="10">
        <v>44206</v>
      </c>
      <c r="F27" s="32">
        <v>36580</v>
      </c>
      <c r="G27" s="10">
        <v>44206</v>
      </c>
      <c r="H27" s="32">
        <v>36580</v>
      </c>
      <c r="I27" s="90">
        <f>+F27-H27</f>
        <v>0</v>
      </c>
      <c r="J27" s="118" t="s">
        <v>1572</v>
      </c>
    </row>
    <row r="28" spans="1:10" s="117" customFormat="1">
      <c r="A28" s="159"/>
      <c r="B28" s="156" t="s">
        <v>1485</v>
      </c>
      <c r="C28" s="19" t="s">
        <v>21</v>
      </c>
      <c r="D28" s="25" t="s">
        <v>2160</v>
      </c>
      <c r="E28" s="10" t="s">
        <v>2156</v>
      </c>
      <c r="F28" s="32">
        <v>36580</v>
      </c>
      <c r="G28" s="10" t="s">
        <v>2156</v>
      </c>
      <c r="H28" s="32">
        <v>36580</v>
      </c>
      <c r="I28" s="90">
        <f>+F28-H28</f>
        <v>0</v>
      </c>
      <c r="J28" s="118" t="s">
        <v>1572</v>
      </c>
    </row>
    <row r="29" spans="1:10" s="117" customFormat="1">
      <c r="A29" s="159"/>
      <c r="B29" s="156"/>
      <c r="C29" s="19"/>
      <c r="D29" s="25"/>
      <c r="E29" s="10"/>
      <c r="F29" s="32"/>
      <c r="G29" s="10"/>
      <c r="H29" s="157"/>
      <c r="I29" s="90"/>
      <c r="J29" s="118"/>
    </row>
    <row r="30" spans="1:10" s="114" customFormat="1">
      <c r="A30" s="159"/>
      <c r="B30" s="156" t="s">
        <v>1255</v>
      </c>
      <c r="C30" s="19" t="s">
        <v>134</v>
      </c>
      <c r="D30" s="25" t="s">
        <v>2158</v>
      </c>
      <c r="E30" s="10" t="s">
        <v>2047</v>
      </c>
      <c r="F30" s="32">
        <v>587050</v>
      </c>
      <c r="G30" s="10" t="s">
        <v>2047</v>
      </c>
      <c r="H30" s="32">
        <v>587050</v>
      </c>
      <c r="I30" s="90">
        <f>+F30-H30</f>
        <v>0</v>
      </c>
      <c r="J30" s="118" t="s">
        <v>1572</v>
      </c>
    </row>
    <row r="31" spans="1:10" s="117" customFormat="1">
      <c r="A31" s="159"/>
      <c r="B31" s="156"/>
      <c r="C31" s="19"/>
      <c r="D31" s="25"/>
      <c r="E31" s="10"/>
      <c r="F31" s="32"/>
      <c r="G31" s="10"/>
      <c r="H31" s="32"/>
      <c r="I31" s="90"/>
      <c r="J31" s="118"/>
    </row>
    <row r="32" spans="1:10" s="14" customFormat="1">
      <c r="A32" s="159"/>
      <c r="B32" s="156" t="s">
        <v>1348</v>
      </c>
      <c r="C32" s="19" t="s">
        <v>570</v>
      </c>
      <c r="D32" s="25" t="s">
        <v>2161</v>
      </c>
      <c r="E32" s="10" t="s">
        <v>2163</v>
      </c>
      <c r="F32" s="32">
        <v>1300000</v>
      </c>
      <c r="G32" s="10" t="s">
        <v>2163</v>
      </c>
      <c r="H32" s="32">
        <v>1300000</v>
      </c>
      <c r="I32" s="90">
        <f>+F32-H32</f>
        <v>0</v>
      </c>
      <c r="J32" s="118" t="s">
        <v>1572</v>
      </c>
    </row>
    <row r="33" spans="1:10" s="14" customFormat="1">
      <c r="A33" s="159"/>
      <c r="B33" s="156" t="s">
        <v>1348</v>
      </c>
      <c r="C33" s="19" t="s">
        <v>570</v>
      </c>
      <c r="D33" s="25" t="s">
        <v>2046</v>
      </c>
      <c r="E33" s="10" t="s">
        <v>2047</v>
      </c>
      <c r="F33" s="32">
        <v>1007500</v>
      </c>
      <c r="G33" s="10" t="s">
        <v>2047</v>
      </c>
      <c r="H33" s="32">
        <v>1007500</v>
      </c>
      <c r="I33" s="90">
        <f>+F33-H33</f>
        <v>0</v>
      </c>
      <c r="J33" s="118" t="s">
        <v>1572</v>
      </c>
    </row>
    <row r="34" spans="1:10" s="14" customFormat="1">
      <c r="A34" s="159"/>
      <c r="B34" s="156" t="s">
        <v>1348</v>
      </c>
      <c r="C34" s="19" t="s">
        <v>570</v>
      </c>
      <c r="D34" s="25" t="s">
        <v>2162</v>
      </c>
      <c r="E34" s="10" t="s">
        <v>2164</v>
      </c>
      <c r="F34" s="32">
        <v>1300000</v>
      </c>
      <c r="G34" s="10" t="s">
        <v>2164</v>
      </c>
      <c r="H34" s="32">
        <v>1300000</v>
      </c>
      <c r="I34" s="90">
        <f>+F34-H34</f>
        <v>0</v>
      </c>
      <c r="J34" s="118" t="s">
        <v>1572</v>
      </c>
    </row>
    <row r="35" spans="1:10" s="14" customFormat="1">
      <c r="A35" s="159"/>
      <c r="B35" s="156"/>
      <c r="C35" s="19"/>
      <c r="D35" s="25"/>
      <c r="E35" s="10"/>
      <c r="F35" s="32"/>
      <c r="G35" s="10"/>
      <c r="H35" s="157"/>
      <c r="I35" s="357"/>
      <c r="J35" s="357"/>
    </row>
    <row r="36" spans="1:10" s="117" customFormat="1">
      <c r="A36" s="155"/>
      <c r="B36" s="156" t="s">
        <v>2056</v>
      </c>
      <c r="C36" s="19" t="s">
        <v>935</v>
      </c>
      <c r="D36" s="25" t="s">
        <v>934</v>
      </c>
      <c r="E36" s="10">
        <v>44205</v>
      </c>
      <c r="F36" s="32">
        <v>129999.79</v>
      </c>
      <c r="G36" s="10">
        <v>44205</v>
      </c>
      <c r="H36" s="32">
        <v>129999.79</v>
      </c>
      <c r="I36" s="90">
        <f>+F36-H36</f>
        <v>0</v>
      </c>
      <c r="J36" s="118" t="s">
        <v>1572</v>
      </c>
    </row>
    <row r="37" spans="1:10" s="117" customFormat="1">
      <c r="A37" s="155"/>
      <c r="B37" s="156"/>
      <c r="C37" s="19"/>
      <c r="D37" s="25"/>
      <c r="E37" s="10"/>
      <c r="F37" s="32"/>
      <c r="G37" s="10"/>
      <c r="H37" s="32"/>
      <c r="I37" s="90"/>
      <c r="J37" s="118"/>
    </row>
    <row r="38" spans="1:10" s="14" customFormat="1">
      <c r="A38" s="159"/>
      <c r="B38" s="156" t="s">
        <v>1348</v>
      </c>
      <c r="C38" s="19" t="s">
        <v>570</v>
      </c>
      <c r="D38" s="25" t="s">
        <v>2165</v>
      </c>
      <c r="E38" s="10">
        <v>44206</v>
      </c>
      <c r="F38" s="32">
        <v>3523000</v>
      </c>
      <c r="G38" s="10">
        <v>44206</v>
      </c>
      <c r="H38" s="32">
        <v>3523000</v>
      </c>
      <c r="I38" s="90">
        <f>+F38-H38</f>
        <v>0</v>
      </c>
      <c r="J38" s="118" t="s">
        <v>1572</v>
      </c>
    </row>
    <row r="39" spans="1:10" s="14" customFormat="1">
      <c r="A39" s="159"/>
      <c r="B39" s="156" t="s">
        <v>1348</v>
      </c>
      <c r="C39" s="19" t="s">
        <v>570</v>
      </c>
      <c r="D39" s="25" t="s">
        <v>1887</v>
      </c>
      <c r="E39" s="10">
        <v>44206</v>
      </c>
      <c r="F39" s="32">
        <v>2275000</v>
      </c>
      <c r="G39" s="10">
        <v>44206</v>
      </c>
      <c r="H39" s="32">
        <v>2275000</v>
      </c>
      <c r="I39" s="90">
        <f>+F39-H39</f>
        <v>0</v>
      </c>
      <c r="J39" s="118" t="s">
        <v>1572</v>
      </c>
    </row>
    <row r="40" spans="1:10" s="14" customFormat="1">
      <c r="A40" s="159"/>
      <c r="B40" s="156" t="s">
        <v>1348</v>
      </c>
      <c r="C40" s="19" t="s">
        <v>570</v>
      </c>
      <c r="D40" s="25" t="s">
        <v>1026</v>
      </c>
      <c r="E40" s="10">
        <v>44206</v>
      </c>
      <c r="F40" s="32">
        <v>975000</v>
      </c>
      <c r="G40" s="10">
        <v>44206</v>
      </c>
      <c r="H40" s="32">
        <v>975000</v>
      </c>
      <c r="I40" s="90">
        <f>+F40-H40</f>
        <v>0</v>
      </c>
      <c r="J40" s="118" t="s">
        <v>1572</v>
      </c>
    </row>
    <row r="41" spans="1:10" s="14" customFormat="1">
      <c r="A41" s="159"/>
      <c r="B41" s="156" t="s">
        <v>1348</v>
      </c>
      <c r="C41" s="19" t="s">
        <v>570</v>
      </c>
      <c r="D41" s="25" t="s">
        <v>2166</v>
      </c>
      <c r="E41" s="10">
        <v>44206</v>
      </c>
      <c r="F41" s="32">
        <v>2275000</v>
      </c>
      <c r="G41" s="10">
        <v>44206</v>
      </c>
      <c r="H41" s="32">
        <v>2275000</v>
      </c>
      <c r="I41" s="90">
        <f>+F41-H41</f>
        <v>0</v>
      </c>
      <c r="J41" s="118" t="s">
        <v>1572</v>
      </c>
    </row>
    <row r="42" spans="1:10" s="14" customFormat="1">
      <c r="A42" s="159"/>
      <c r="B42" s="156"/>
      <c r="C42" s="19"/>
      <c r="D42" s="25"/>
      <c r="E42" s="10"/>
      <c r="F42" s="32"/>
      <c r="G42" s="10"/>
      <c r="H42" s="157"/>
      <c r="I42" s="358"/>
      <c r="J42" s="359"/>
    </row>
    <row r="43" spans="1:10" s="117" customFormat="1" ht="14.25" customHeight="1">
      <c r="A43" s="159"/>
      <c r="B43" s="156" t="s">
        <v>1333</v>
      </c>
      <c r="C43" s="19" t="s">
        <v>570</v>
      </c>
      <c r="D43" s="25" t="s">
        <v>646</v>
      </c>
      <c r="E43" s="10">
        <v>44206</v>
      </c>
      <c r="F43" s="32">
        <v>1950000</v>
      </c>
      <c r="G43" s="10">
        <v>44206</v>
      </c>
      <c r="H43" s="32">
        <v>1950000</v>
      </c>
      <c r="I43" s="90">
        <f t="shared" ref="I43:I48" si="0">+F43-H43</f>
        <v>0</v>
      </c>
      <c r="J43" s="118" t="s">
        <v>1572</v>
      </c>
    </row>
    <row r="44" spans="1:10" s="117" customFormat="1" ht="14.25" customHeight="1">
      <c r="A44" s="159"/>
      <c r="B44" s="156" t="s">
        <v>1333</v>
      </c>
      <c r="C44" s="19" t="s">
        <v>570</v>
      </c>
      <c r="D44" s="25" t="s">
        <v>2167</v>
      </c>
      <c r="E44" s="10">
        <v>44206</v>
      </c>
      <c r="F44" s="32">
        <v>1300000</v>
      </c>
      <c r="G44" s="10">
        <v>44206</v>
      </c>
      <c r="H44" s="32">
        <v>1300000</v>
      </c>
      <c r="I44" s="90">
        <f t="shared" si="0"/>
        <v>0</v>
      </c>
      <c r="J44" s="118" t="s">
        <v>1572</v>
      </c>
    </row>
    <row r="45" spans="1:10" s="117" customFormat="1" ht="14.25" customHeight="1">
      <c r="A45" s="159"/>
      <c r="B45" s="156" t="s">
        <v>1333</v>
      </c>
      <c r="C45" s="19" t="s">
        <v>570</v>
      </c>
      <c r="D45" s="25" t="s">
        <v>2168</v>
      </c>
      <c r="E45" s="10">
        <v>44387</v>
      </c>
      <c r="F45" s="32">
        <v>1300000</v>
      </c>
      <c r="G45" s="10">
        <v>44387</v>
      </c>
      <c r="H45" s="32">
        <v>1300000</v>
      </c>
      <c r="I45" s="90">
        <f t="shared" si="0"/>
        <v>0</v>
      </c>
      <c r="J45" s="118" t="s">
        <v>1572</v>
      </c>
    </row>
    <row r="46" spans="1:10" s="117" customFormat="1" ht="14.25" customHeight="1">
      <c r="A46" s="159"/>
      <c r="B46" s="156" t="s">
        <v>1333</v>
      </c>
      <c r="C46" s="19" t="s">
        <v>570</v>
      </c>
      <c r="D46" s="25" t="s">
        <v>2169</v>
      </c>
      <c r="E46" s="10">
        <v>44510</v>
      </c>
      <c r="F46" s="32">
        <v>1950000</v>
      </c>
      <c r="G46" s="10">
        <v>44510</v>
      </c>
      <c r="H46" s="32">
        <v>1950000</v>
      </c>
      <c r="I46" s="90">
        <f t="shared" si="0"/>
        <v>0</v>
      </c>
      <c r="J46" s="118" t="s">
        <v>1572</v>
      </c>
    </row>
    <row r="47" spans="1:10" s="117" customFormat="1" ht="14.25" customHeight="1">
      <c r="A47" s="159"/>
      <c r="B47" s="156" t="s">
        <v>1333</v>
      </c>
      <c r="C47" s="19" t="s">
        <v>570</v>
      </c>
      <c r="D47" s="25" t="s">
        <v>2170</v>
      </c>
      <c r="E47" s="10" t="s">
        <v>2172</v>
      </c>
      <c r="F47" s="32">
        <v>1950000</v>
      </c>
      <c r="G47" s="10" t="s">
        <v>2172</v>
      </c>
      <c r="H47" s="32">
        <v>1950000</v>
      </c>
      <c r="I47" s="90">
        <f t="shared" si="0"/>
        <v>0</v>
      </c>
      <c r="J47" s="118" t="s">
        <v>1572</v>
      </c>
    </row>
    <row r="48" spans="1:10" s="117" customFormat="1" ht="14.25" customHeight="1">
      <c r="A48" s="159"/>
      <c r="B48" s="156" t="s">
        <v>1333</v>
      </c>
      <c r="C48" s="19" t="s">
        <v>570</v>
      </c>
      <c r="D48" s="25" t="s">
        <v>2171</v>
      </c>
      <c r="E48" s="10" t="s">
        <v>2172</v>
      </c>
      <c r="F48" s="32">
        <v>650000</v>
      </c>
      <c r="G48" s="10" t="s">
        <v>2172</v>
      </c>
      <c r="H48" s="32">
        <v>650000</v>
      </c>
      <c r="I48" s="90">
        <f t="shared" si="0"/>
        <v>0</v>
      </c>
      <c r="J48" s="118" t="s">
        <v>1572</v>
      </c>
    </row>
    <row r="49" spans="1:10" s="117" customFormat="1" ht="14.25" customHeight="1">
      <c r="A49" s="159"/>
      <c r="B49" s="156"/>
      <c r="C49" s="19"/>
      <c r="D49" s="25"/>
      <c r="E49" s="10"/>
      <c r="F49" s="32"/>
      <c r="G49" s="10"/>
      <c r="H49" s="32"/>
      <c r="I49" s="90"/>
      <c r="J49" s="118"/>
    </row>
    <row r="50" spans="1:10" s="14" customFormat="1" ht="14.25" customHeight="1">
      <c r="A50" s="155"/>
      <c r="B50" s="156" t="s">
        <v>1124</v>
      </c>
      <c r="C50" s="19" t="s">
        <v>1886</v>
      </c>
      <c r="D50" s="25" t="s">
        <v>2173</v>
      </c>
      <c r="E50" s="10">
        <v>44387</v>
      </c>
      <c r="F50" s="32">
        <v>6420</v>
      </c>
      <c r="G50" s="10">
        <v>44387</v>
      </c>
      <c r="H50" s="32">
        <v>6420</v>
      </c>
      <c r="I50" s="90">
        <f>+F50-H50</f>
        <v>0</v>
      </c>
      <c r="J50" s="118" t="s">
        <v>1572</v>
      </c>
    </row>
    <row r="51" spans="1:10" s="14" customFormat="1" ht="14.25" customHeight="1">
      <c r="A51" s="155"/>
      <c r="B51" s="156"/>
      <c r="C51" s="19"/>
      <c r="D51" s="25"/>
      <c r="E51" s="10"/>
      <c r="F51" s="32"/>
      <c r="G51" s="10"/>
      <c r="H51" s="32"/>
      <c r="I51" s="90"/>
      <c r="J51" s="118"/>
    </row>
    <row r="52" spans="1:10" s="117" customFormat="1">
      <c r="A52" s="155"/>
      <c r="B52" s="156" t="s">
        <v>1725</v>
      </c>
      <c r="C52" s="19" t="s">
        <v>102</v>
      </c>
      <c r="D52" s="25" t="s">
        <v>2174</v>
      </c>
      <c r="E52" s="10">
        <v>44450</v>
      </c>
      <c r="F52" s="32">
        <v>60180</v>
      </c>
      <c r="G52" s="10">
        <v>44450</v>
      </c>
      <c r="H52" s="32">
        <v>60180</v>
      </c>
      <c r="I52" s="90">
        <f>+F52-H52</f>
        <v>0</v>
      </c>
      <c r="J52" s="118" t="s">
        <v>1572</v>
      </c>
    </row>
    <row r="53" spans="1:10" s="117" customFormat="1">
      <c r="A53" s="155"/>
      <c r="B53" s="156"/>
      <c r="C53" s="19"/>
      <c r="D53" s="25"/>
      <c r="E53" s="10"/>
      <c r="F53" s="32"/>
      <c r="G53" s="10"/>
      <c r="H53" s="32"/>
      <c r="I53" s="90"/>
      <c r="J53" s="118"/>
    </row>
    <row r="54" spans="1:10" s="14" customFormat="1">
      <c r="A54" s="155"/>
      <c r="B54" s="156" t="s">
        <v>1821</v>
      </c>
      <c r="C54" s="19" t="s">
        <v>102</v>
      </c>
      <c r="D54" s="25" t="s">
        <v>2175</v>
      </c>
      <c r="E54" s="10">
        <v>44450</v>
      </c>
      <c r="F54" s="32">
        <v>62265.06</v>
      </c>
      <c r="G54" s="10">
        <v>44450</v>
      </c>
      <c r="H54" s="32">
        <v>62265.06</v>
      </c>
      <c r="I54" s="90">
        <f>+F54-H54</f>
        <v>0</v>
      </c>
      <c r="J54" s="118" t="s">
        <v>1572</v>
      </c>
    </row>
    <row r="55" spans="1:10" s="14" customFormat="1">
      <c r="A55" s="155"/>
      <c r="B55" s="156"/>
      <c r="C55" s="19"/>
      <c r="D55" s="25"/>
      <c r="E55" s="10"/>
      <c r="F55" s="32"/>
      <c r="G55" s="10"/>
      <c r="H55" s="32"/>
      <c r="I55" s="90"/>
      <c r="J55" s="118"/>
    </row>
    <row r="56" spans="1:10" s="117" customFormat="1">
      <c r="A56" s="155"/>
      <c r="B56" s="156" t="s">
        <v>1112</v>
      </c>
      <c r="C56" s="19" t="s">
        <v>1374</v>
      </c>
      <c r="D56" s="25" t="s">
        <v>2176</v>
      </c>
      <c r="E56" s="10">
        <v>44387</v>
      </c>
      <c r="F56" s="32">
        <v>140152.49</v>
      </c>
      <c r="G56" s="10">
        <v>44387</v>
      </c>
      <c r="H56" s="32">
        <v>140152.49</v>
      </c>
      <c r="I56" s="90">
        <f>+F56-H56</f>
        <v>0</v>
      </c>
      <c r="J56" s="118" t="s">
        <v>1572</v>
      </c>
    </row>
    <row r="57" spans="1:10" s="117" customFormat="1">
      <c r="A57" s="155"/>
      <c r="B57" s="156"/>
      <c r="C57" s="19"/>
      <c r="D57" s="25"/>
      <c r="E57" s="10"/>
      <c r="F57" s="32"/>
      <c r="G57" s="10"/>
      <c r="H57" s="32"/>
      <c r="I57" s="90"/>
      <c r="J57" s="118"/>
    </row>
    <row r="58" spans="1:10" s="117" customFormat="1">
      <c r="A58" s="155"/>
      <c r="B58" s="156" t="s">
        <v>1319</v>
      </c>
      <c r="C58" s="19" t="s">
        <v>1380</v>
      </c>
      <c r="D58" s="25" t="s">
        <v>2177</v>
      </c>
      <c r="E58" s="10"/>
      <c r="F58" s="32">
        <v>316410.02105263161</v>
      </c>
      <c r="G58" s="10"/>
      <c r="H58" s="32">
        <v>316410.02105263161</v>
      </c>
      <c r="I58" s="90">
        <f>+F58-H58</f>
        <v>0</v>
      </c>
      <c r="J58" s="118" t="s">
        <v>1572</v>
      </c>
    </row>
    <row r="59" spans="1:10" s="117" customFormat="1">
      <c r="A59" s="155"/>
      <c r="B59" s="156" t="s">
        <v>1319</v>
      </c>
      <c r="C59" s="19" t="s">
        <v>1380</v>
      </c>
      <c r="D59" s="25" t="s">
        <v>2178</v>
      </c>
      <c r="E59" s="10"/>
      <c r="F59" s="32">
        <v>296416.49473684211</v>
      </c>
      <c r="G59" s="10"/>
      <c r="H59" s="32">
        <v>296416.49473684211</v>
      </c>
      <c r="I59" s="90">
        <f t="shared" ref="I59:I64" si="1">+F59-H59</f>
        <v>0</v>
      </c>
      <c r="J59" s="118" t="s">
        <v>1572</v>
      </c>
    </row>
    <row r="60" spans="1:10" s="117" customFormat="1">
      <c r="A60" s="155"/>
      <c r="B60" s="156" t="s">
        <v>1319</v>
      </c>
      <c r="C60" s="19" t="s">
        <v>1380</v>
      </c>
      <c r="D60" s="25" t="s">
        <v>2179</v>
      </c>
      <c r="E60" s="10"/>
      <c r="F60" s="32">
        <v>41690.515789473684</v>
      </c>
      <c r="G60" s="10"/>
      <c r="H60" s="32">
        <v>41690.515789473684</v>
      </c>
      <c r="I60" s="90">
        <f t="shared" si="1"/>
        <v>0</v>
      </c>
      <c r="J60" s="118" t="s">
        <v>1572</v>
      </c>
    </row>
    <row r="61" spans="1:10" s="117" customFormat="1">
      <c r="A61" s="155"/>
      <c r="B61" s="156" t="s">
        <v>1319</v>
      </c>
      <c r="C61" s="19" t="s">
        <v>1380</v>
      </c>
      <c r="D61" s="25" t="s">
        <v>2180</v>
      </c>
      <c r="E61" s="10"/>
      <c r="F61" s="32">
        <v>36890.757894736846</v>
      </c>
      <c r="G61" s="10"/>
      <c r="H61" s="32">
        <v>36890.757894736846</v>
      </c>
      <c r="I61" s="90">
        <f t="shared" si="1"/>
        <v>0</v>
      </c>
      <c r="J61" s="118" t="s">
        <v>1572</v>
      </c>
    </row>
    <row r="62" spans="1:10" s="117" customFormat="1">
      <c r="A62" s="155"/>
      <c r="B62" s="156" t="s">
        <v>1319</v>
      </c>
      <c r="C62" s="19" t="s">
        <v>1380</v>
      </c>
      <c r="D62" s="25" t="s">
        <v>2181</v>
      </c>
      <c r="E62" s="10"/>
      <c r="F62" s="32">
        <v>715.36842105263167</v>
      </c>
      <c r="G62" s="10"/>
      <c r="H62" s="32">
        <v>715.36842105263167</v>
      </c>
      <c r="I62" s="90">
        <f t="shared" si="1"/>
        <v>0</v>
      </c>
      <c r="J62" s="118" t="s">
        <v>1572</v>
      </c>
    </row>
    <row r="63" spans="1:10" s="117" customFormat="1">
      <c r="A63" s="155"/>
      <c r="B63" s="156" t="s">
        <v>1319</v>
      </c>
      <c r="C63" s="19" t="s">
        <v>1380</v>
      </c>
      <c r="D63" s="25" t="s">
        <v>2182</v>
      </c>
      <c r="E63" s="10"/>
      <c r="F63" s="32">
        <v>14621.905263157894</v>
      </c>
      <c r="G63" s="10"/>
      <c r="H63" s="32">
        <v>14621.905263157894</v>
      </c>
      <c r="I63" s="90">
        <f t="shared" si="1"/>
        <v>0</v>
      </c>
      <c r="J63" s="118" t="s">
        <v>1572</v>
      </c>
    </row>
    <row r="64" spans="1:10" s="117" customFormat="1">
      <c r="A64" s="155"/>
      <c r="B64" s="156" t="s">
        <v>1319</v>
      </c>
      <c r="C64" s="19" t="s">
        <v>1380</v>
      </c>
      <c r="D64" s="25" t="s">
        <v>2183</v>
      </c>
      <c r="E64" s="10"/>
      <c r="F64" s="32">
        <v>12673.252631578947</v>
      </c>
      <c r="G64" s="10"/>
      <c r="H64" s="32">
        <v>12673.252631578947</v>
      </c>
      <c r="I64" s="90">
        <f t="shared" si="1"/>
        <v>0</v>
      </c>
      <c r="J64" s="118" t="s">
        <v>1572</v>
      </c>
    </row>
    <row r="65" spans="1:10" s="117" customFormat="1">
      <c r="A65" s="155"/>
      <c r="B65" s="156"/>
      <c r="C65" s="19"/>
      <c r="D65" s="25"/>
      <c r="E65" s="10"/>
      <c r="F65" s="32"/>
      <c r="G65" s="10"/>
      <c r="H65" s="32"/>
      <c r="I65" s="90"/>
      <c r="J65" s="118"/>
    </row>
    <row r="66" spans="1:10" s="117" customFormat="1">
      <c r="A66" s="155"/>
      <c r="B66" s="156" t="s">
        <v>1332</v>
      </c>
      <c r="C66" s="19" t="s">
        <v>597</v>
      </c>
      <c r="D66" s="25" t="s">
        <v>2184</v>
      </c>
      <c r="E66" s="10" t="s">
        <v>2187</v>
      </c>
      <c r="F66" s="32">
        <v>487501.81</v>
      </c>
      <c r="G66" s="10">
        <v>44510</v>
      </c>
      <c r="H66" s="32">
        <v>487501.81</v>
      </c>
      <c r="I66" s="90">
        <f>+F66-H66</f>
        <v>0</v>
      </c>
      <c r="J66" s="118" t="s">
        <v>1572</v>
      </c>
    </row>
    <row r="67" spans="1:10" s="117" customFormat="1">
      <c r="A67" s="155"/>
      <c r="B67" s="156" t="s">
        <v>1332</v>
      </c>
      <c r="C67" s="19" t="s">
        <v>597</v>
      </c>
      <c r="D67" s="25" t="s">
        <v>2185</v>
      </c>
      <c r="E67" s="10" t="s">
        <v>2187</v>
      </c>
      <c r="F67" s="32">
        <v>302416.26</v>
      </c>
      <c r="G67" s="10">
        <v>44510</v>
      </c>
      <c r="H67" s="32">
        <v>302416.26</v>
      </c>
      <c r="I67" s="90">
        <f>+F67-H67</f>
        <v>0</v>
      </c>
      <c r="J67" s="118" t="s">
        <v>1572</v>
      </c>
    </row>
    <row r="68" spans="1:10" s="117" customFormat="1">
      <c r="A68" s="155"/>
      <c r="B68" s="156" t="s">
        <v>1332</v>
      </c>
      <c r="C68" s="19" t="s">
        <v>597</v>
      </c>
      <c r="D68" s="25" t="s">
        <v>2186</v>
      </c>
      <c r="E68" s="10" t="s">
        <v>2187</v>
      </c>
      <c r="F68" s="32">
        <v>4052.96</v>
      </c>
      <c r="G68" s="10">
        <v>44510</v>
      </c>
      <c r="H68" s="32">
        <v>4052.96</v>
      </c>
      <c r="I68" s="90">
        <f>+F68-H68</f>
        <v>0</v>
      </c>
      <c r="J68" s="118" t="s">
        <v>1572</v>
      </c>
    </row>
    <row r="69" spans="1:10" s="117" customFormat="1">
      <c r="A69" s="155"/>
      <c r="B69" s="156"/>
      <c r="C69" s="19"/>
      <c r="D69" s="25"/>
      <c r="E69" s="10"/>
      <c r="F69" s="32"/>
      <c r="G69" s="10"/>
      <c r="H69" s="32"/>
      <c r="I69" s="90"/>
      <c r="J69" s="118"/>
    </row>
    <row r="70" spans="1:10" s="117" customFormat="1">
      <c r="A70" s="155"/>
      <c r="B70" s="156" t="s">
        <v>1381</v>
      </c>
      <c r="C70" s="19" t="s">
        <v>1380</v>
      </c>
      <c r="D70" s="25" t="s">
        <v>2188</v>
      </c>
      <c r="E70" s="10">
        <v>44207</v>
      </c>
      <c r="F70" s="32">
        <v>1365.6421052631579</v>
      </c>
      <c r="G70" s="10">
        <v>44541</v>
      </c>
      <c r="H70" s="32">
        <v>1365.6421052631579</v>
      </c>
      <c r="I70" s="90">
        <f>+F70-H70</f>
        <v>0</v>
      </c>
      <c r="J70" s="118" t="s">
        <v>1572</v>
      </c>
    </row>
    <row r="71" spans="1:10" s="117" customFormat="1">
      <c r="A71" s="155"/>
      <c r="B71" s="156" t="s">
        <v>1381</v>
      </c>
      <c r="C71" s="19" t="s">
        <v>1380</v>
      </c>
      <c r="D71" s="25" t="s">
        <v>2189</v>
      </c>
      <c r="E71" s="10">
        <v>44207</v>
      </c>
      <c r="F71" s="32">
        <v>6110.0526315789475</v>
      </c>
      <c r="G71" s="10">
        <v>44541</v>
      </c>
      <c r="H71" s="32">
        <v>6110.0526315789475</v>
      </c>
      <c r="I71" s="90">
        <f>+F71-H71</f>
        <v>0</v>
      </c>
      <c r="J71" s="118" t="s">
        <v>1572</v>
      </c>
    </row>
    <row r="72" spans="1:10" s="117" customFormat="1">
      <c r="A72" s="155"/>
      <c r="B72" s="156" t="s">
        <v>1381</v>
      </c>
      <c r="C72" s="19" t="s">
        <v>1380</v>
      </c>
      <c r="D72" s="25" t="s">
        <v>2190</v>
      </c>
      <c r="E72" s="10">
        <v>44207</v>
      </c>
      <c r="F72" s="32">
        <v>14187.473684210527</v>
      </c>
      <c r="G72" s="10">
        <v>44541</v>
      </c>
      <c r="H72" s="32">
        <v>14187.473684210527</v>
      </c>
      <c r="I72" s="90">
        <f>+F72-H72</f>
        <v>0</v>
      </c>
      <c r="J72" s="118" t="s">
        <v>1572</v>
      </c>
    </row>
    <row r="73" spans="1:10" s="117" customFormat="1">
      <c r="A73" s="155"/>
      <c r="B73" s="156"/>
      <c r="C73" s="19"/>
      <c r="D73" s="25"/>
      <c r="E73" s="10"/>
      <c r="F73" s="32"/>
      <c r="G73" s="10"/>
      <c r="H73" s="32"/>
      <c r="I73" s="90"/>
      <c r="J73" s="118"/>
    </row>
    <row r="74" spans="1:10" s="117" customFormat="1">
      <c r="A74" s="155"/>
      <c r="B74" s="156" t="s">
        <v>1334</v>
      </c>
      <c r="C74" s="19" t="s">
        <v>1380</v>
      </c>
      <c r="D74" s="25" t="s">
        <v>2191</v>
      </c>
      <c r="E74" s="10">
        <v>44266</v>
      </c>
      <c r="F74" s="32">
        <v>28254.747368421053</v>
      </c>
      <c r="G74" s="10">
        <v>44541</v>
      </c>
      <c r="H74" s="32">
        <v>28254.747368421053</v>
      </c>
      <c r="I74" s="90">
        <f>+F74-H74</f>
        <v>0</v>
      </c>
      <c r="J74" s="118" t="s">
        <v>1572</v>
      </c>
    </row>
    <row r="75" spans="1:10" s="117" customFormat="1">
      <c r="A75" s="155"/>
      <c r="B75" s="156" t="s">
        <v>1334</v>
      </c>
      <c r="C75" s="19" t="s">
        <v>1380</v>
      </c>
      <c r="D75" s="25" t="s">
        <v>2192</v>
      </c>
      <c r="E75" s="10">
        <v>44266</v>
      </c>
      <c r="F75" s="32">
        <v>1019.7157894736843</v>
      </c>
      <c r="G75" s="10">
        <v>44541</v>
      </c>
      <c r="H75" s="32">
        <v>1019.7157894736843</v>
      </c>
      <c r="I75" s="90">
        <f>+F75-H75</f>
        <v>0</v>
      </c>
      <c r="J75" s="118" t="s">
        <v>1572</v>
      </c>
    </row>
    <row r="76" spans="1:10" s="117" customFormat="1">
      <c r="A76" s="155"/>
      <c r="B76" s="156" t="s">
        <v>1334</v>
      </c>
      <c r="C76" s="19" t="s">
        <v>1380</v>
      </c>
      <c r="D76" s="25" t="s">
        <v>2193</v>
      </c>
      <c r="E76" s="10">
        <v>44266</v>
      </c>
      <c r="F76" s="32">
        <v>134.55789473684212</v>
      </c>
      <c r="G76" s="10">
        <v>44541</v>
      </c>
      <c r="H76" s="32">
        <v>134.55789473684212</v>
      </c>
      <c r="I76" s="90">
        <f>+F76-H76</f>
        <v>0</v>
      </c>
      <c r="J76" s="118" t="s">
        <v>1572</v>
      </c>
    </row>
    <row r="77" spans="1:10" s="117" customFormat="1">
      <c r="A77" s="155"/>
      <c r="B77" s="156"/>
      <c r="C77" s="19"/>
      <c r="D77" s="25"/>
      <c r="E77" s="10"/>
      <c r="F77" s="32"/>
      <c r="G77" s="10"/>
      <c r="H77" s="32"/>
      <c r="I77" s="90"/>
      <c r="J77" s="118"/>
    </row>
    <row r="78" spans="1:10" s="14" customFormat="1">
      <c r="A78" s="155"/>
      <c r="B78" s="156" t="s">
        <v>2139</v>
      </c>
      <c r="C78" s="19" t="s">
        <v>142</v>
      </c>
      <c r="D78" s="25" t="s">
        <v>2194</v>
      </c>
      <c r="E78" s="10" t="s">
        <v>2195</v>
      </c>
      <c r="F78" s="32">
        <v>67500.72</v>
      </c>
      <c r="G78" s="10" t="s">
        <v>2195</v>
      </c>
      <c r="H78" s="32">
        <v>67500.72</v>
      </c>
      <c r="I78" s="90">
        <f>+F78-H78</f>
        <v>0</v>
      </c>
      <c r="J78" s="118" t="s">
        <v>1572</v>
      </c>
    </row>
    <row r="79" spans="1:10" s="14" customFormat="1">
      <c r="A79" s="155"/>
      <c r="B79" s="156"/>
      <c r="C79" s="19"/>
      <c r="D79" s="25"/>
      <c r="E79" s="10"/>
      <c r="F79" s="32"/>
      <c r="G79" s="10"/>
      <c r="H79" s="32"/>
      <c r="I79" s="90"/>
      <c r="J79" s="118"/>
    </row>
    <row r="80" spans="1:10" s="117" customFormat="1">
      <c r="A80" s="155"/>
      <c r="B80" s="156" t="s">
        <v>1142</v>
      </c>
      <c r="C80" s="19" t="s">
        <v>102</v>
      </c>
      <c r="D80" s="25" t="s">
        <v>954</v>
      </c>
      <c r="E80" s="10">
        <v>44539</v>
      </c>
      <c r="F80" s="32">
        <v>17700</v>
      </c>
      <c r="G80" s="10">
        <v>44539</v>
      </c>
      <c r="H80" s="32">
        <v>17700</v>
      </c>
      <c r="I80" s="90">
        <f>+F80-H80</f>
        <v>0</v>
      </c>
      <c r="J80" s="118" t="s">
        <v>1572</v>
      </c>
    </row>
    <row r="81" spans="1:10" s="117" customFormat="1">
      <c r="A81" s="155"/>
      <c r="B81" s="156"/>
      <c r="C81" s="19"/>
      <c r="D81" s="25"/>
      <c r="E81" s="10"/>
      <c r="F81" s="32"/>
      <c r="G81" s="10"/>
      <c r="H81" s="32"/>
      <c r="I81" s="90"/>
      <c r="J81" s="118"/>
    </row>
    <row r="82" spans="1:10" s="14" customFormat="1">
      <c r="A82" s="155"/>
      <c r="B82" s="156" t="s">
        <v>1146</v>
      </c>
      <c r="C82" s="19" t="s">
        <v>102</v>
      </c>
      <c r="D82" s="25" t="s">
        <v>2196</v>
      </c>
      <c r="E82" s="10">
        <v>44510</v>
      </c>
      <c r="F82" s="32">
        <v>23600</v>
      </c>
      <c r="G82" s="10">
        <v>44510</v>
      </c>
      <c r="H82" s="32">
        <v>23600</v>
      </c>
      <c r="I82" s="90">
        <f>+F82-H82</f>
        <v>0</v>
      </c>
      <c r="J82" s="118" t="s">
        <v>1572</v>
      </c>
    </row>
    <row r="83" spans="1:10" s="14" customFormat="1">
      <c r="A83" s="155"/>
      <c r="B83" s="156"/>
      <c r="C83" s="19"/>
      <c r="D83" s="25"/>
      <c r="E83" s="10"/>
      <c r="F83" s="32"/>
      <c r="G83" s="10"/>
      <c r="H83" s="32"/>
      <c r="I83" s="358"/>
      <c r="J83" s="359"/>
    </row>
    <row r="84" spans="1:10" s="117" customFormat="1">
      <c r="A84" s="155"/>
      <c r="B84" s="156" t="s">
        <v>1851</v>
      </c>
      <c r="C84" s="19" t="s">
        <v>102</v>
      </c>
      <c r="D84" s="25" t="s">
        <v>2045</v>
      </c>
      <c r="E84" s="10">
        <v>44511</v>
      </c>
      <c r="F84" s="32">
        <v>23600</v>
      </c>
      <c r="G84" s="10">
        <v>44511</v>
      </c>
      <c r="H84" s="32">
        <v>23600</v>
      </c>
      <c r="I84" s="90">
        <f>+F84-H84</f>
        <v>0</v>
      </c>
      <c r="J84" s="118" t="s">
        <v>1572</v>
      </c>
    </row>
    <row r="85" spans="1:10" s="117" customFormat="1">
      <c r="A85" s="155"/>
      <c r="B85" s="156"/>
      <c r="C85" s="19"/>
      <c r="D85" s="25"/>
      <c r="E85" s="10"/>
      <c r="F85" s="32"/>
      <c r="G85" s="10"/>
      <c r="H85" s="32"/>
      <c r="I85" s="90"/>
      <c r="J85" s="118"/>
    </row>
    <row r="86" spans="1:10" s="14" customFormat="1">
      <c r="A86" s="155"/>
      <c r="B86" s="156" t="s">
        <v>1858</v>
      </c>
      <c r="C86" s="19" t="s">
        <v>102</v>
      </c>
      <c r="D86" s="25" t="s">
        <v>2197</v>
      </c>
      <c r="E86" s="10">
        <v>44326</v>
      </c>
      <c r="F86" s="32">
        <v>23600</v>
      </c>
      <c r="G86" s="10">
        <v>44326</v>
      </c>
      <c r="H86" s="32">
        <v>23600</v>
      </c>
      <c r="I86" s="90">
        <f>+F86-H86</f>
        <v>0</v>
      </c>
      <c r="J86" s="118" t="s">
        <v>1572</v>
      </c>
    </row>
    <row r="87" spans="1:10" s="14" customFormat="1">
      <c r="A87" s="155"/>
      <c r="B87" s="156"/>
      <c r="C87" s="19"/>
      <c r="D87" s="25"/>
      <c r="E87" s="10"/>
      <c r="F87" s="32"/>
      <c r="G87" s="10"/>
      <c r="H87" s="32"/>
      <c r="I87" s="90"/>
      <c r="J87" s="118"/>
    </row>
    <row r="88" spans="1:10" s="117" customFormat="1">
      <c r="A88" s="155"/>
      <c r="B88" s="156" t="s">
        <v>2135</v>
      </c>
      <c r="C88" s="19" t="s">
        <v>102</v>
      </c>
      <c r="D88" s="25" t="s">
        <v>2198</v>
      </c>
      <c r="E88" s="10">
        <v>44197</v>
      </c>
      <c r="F88" s="32">
        <v>23600</v>
      </c>
      <c r="G88" s="10">
        <v>44197</v>
      </c>
      <c r="H88" s="32">
        <v>23600</v>
      </c>
      <c r="I88" s="90">
        <f>+F88-H88</f>
        <v>0</v>
      </c>
      <c r="J88" s="118" t="s">
        <v>1572</v>
      </c>
    </row>
    <row r="89" spans="1:10" s="117" customFormat="1">
      <c r="A89" s="155"/>
      <c r="B89" s="156"/>
      <c r="C89" s="19"/>
      <c r="D89" s="25"/>
      <c r="E89" s="10"/>
      <c r="F89" s="32"/>
      <c r="G89" s="10"/>
      <c r="H89" s="32"/>
      <c r="I89" s="90"/>
      <c r="J89" s="118"/>
    </row>
    <row r="90" spans="1:10" s="14" customFormat="1">
      <c r="A90" s="155"/>
      <c r="B90" s="156" t="s">
        <v>1856</v>
      </c>
      <c r="C90" s="19" t="s">
        <v>705</v>
      </c>
      <c r="D90" s="25" t="s">
        <v>2161</v>
      </c>
      <c r="E90" s="10" t="s">
        <v>2199</v>
      </c>
      <c r="F90" s="32">
        <v>20384.5</v>
      </c>
      <c r="G90" s="10" t="s">
        <v>2199</v>
      </c>
      <c r="H90" s="32">
        <v>20384.5</v>
      </c>
      <c r="I90" s="90">
        <f>+F90-H90</f>
        <v>0</v>
      </c>
      <c r="J90" s="118" t="s">
        <v>1572</v>
      </c>
    </row>
    <row r="91" spans="1:10" s="14" customFormat="1">
      <c r="A91" s="155"/>
      <c r="B91" s="156"/>
      <c r="C91" s="19"/>
      <c r="D91" s="25"/>
      <c r="E91" s="10"/>
      <c r="F91" s="32"/>
      <c r="G91" s="10"/>
      <c r="H91" s="32"/>
      <c r="I91" s="90"/>
      <c r="J91" s="118"/>
    </row>
    <row r="92" spans="1:10" s="117" customFormat="1">
      <c r="A92" s="155"/>
      <c r="B92" s="156" t="s">
        <v>1066</v>
      </c>
      <c r="C92" s="19" t="s">
        <v>1393</v>
      </c>
      <c r="D92" s="25" t="s">
        <v>2200</v>
      </c>
      <c r="E92" s="10">
        <v>44205</v>
      </c>
      <c r="F92" s="32">
        <v>22302</v>
      </c>
      <c r="G92" s="10">
        <v>44205</v>
      </c>
      <c r="H92" s="32">
        <v>22302</v>
      </c>
      <c r="I92" s="90">
        <f>+F92-H92</f>
        <v>0</v>
      </c>
      <c r="J92" s="118" t="s">
        <v>1572</v>
      </c>
    </row>
    <row r="93" spans="1:10" s="117" customFormat="1">
      <c r="A93" s="155"/>
      <c r="B93" s="156"/>
      <c r="C93" s="19"/>
      <c r="D93" s="25"/>
      <c r="E93" s="10"/>
      <c r="F93" s="32"/>
      <c r="G93" s="10"/>
      <c r="H93" s="32"/>
      <c r="I93" s="90"/>
      <c r="J93" s="118"/>
    </row>
    <row r="94" spans="1:10" s="14" customFormat="1">
      <c r="A94" s="155"/>
      <c r="B94" s="156" t="s">
        <v>1150</v>
      </c>
      <c r="C94" s="19" t="s">
        <v>102</v>
      </c>
      <c r="D94" s="25" t="s">
        <v>1450</v>
      </c>
      <c r="E94" s="10">
        <v>44207</v>
      </c>
      <c r="F94" s="32">
        <v>35400</v>
      </c>
      <c r="G94" s="10">
        <v>44207</v>
      </c>
      <c r="H94" s="32">
        <v>35400</v>
      </c>
      <c r="I94" s="90">
        <f>+F94-H94</f>
        <v>0</v>
      </c>
      <c r="J94" s="118" t="s">
        <v>1572</v>
      </c>
    </row>
    <row r="95" spans="1:10" s="14" customFormat="1">
      <c r="A95" s="155"/>
      <c r="B95" s="156"/>
      <c r="C95" s="19"/>
      <c r="D95" s="25"/>
      <c r="E95" s="10"/>
      <c r="F95" s="32"/>
      <c r="G95" s="10"/>
      <c r="H95" s="32"/>
      <c r="I95" s="90"/>
      <c r="J95" s="118"/>
    </row>
    <row r="96" spans="1:10" s="117" customFormat="1">
      <c r="A96" s="155"/>
      <c r="B96" s="156" t="s">
        <v>2130</v>
      </c>
      <c r="C96" s="19" t="s">
        <v>102</v>
      </c>
      <c r="D96" s="25" t="s">
        <v>592</v>
      </c>
      <c r="E96" s="10">
        <v>44205</v>
      </c>
      <c r="F96" s="32">
        <v>35400</v>
      </c>
      <c r="G96" s="10">
        <v>44205</v>
      </c>
      <c r="H96" s="32">
        <v>35400</v>
      </c>
      <c r="I96" s="90">
        <f>+F96-H96</f>
        <v>0</v>
      </c>
      <c r="J96" s="118" t="s">
        <v>1572</v>
      </c>
    </row>
    <row r="97" spans="1:10" s="117" customFormat="1">
      <c r="A97" s="155"/>
      <c r="B97" s="156"/>
      <c r="C97" s="19"/>
      <c r="D97" s="25"/>
      <c r="E97" s="10"/>
      <c r="F97" s="32"/>
      <c r="G97" s="10"/>
      <c r="H97" s="32"/>
      <c r="I97" s="90"/>
      <c r="J97" s="118"/>
    </row>
    <row r="98" spans="1:10" s="14" customFormat="1">
      <c r="A98" s="155"/>
      <c r="B98" s="156" t="s">
        <v>2025</v>
      </c>
      <c r="C98" s="19" t="s">
        <v>102</v>
      </c>
      <c r="D98" s="25" t="s">
        <v>885</v>
      </c>
      <c r="E98" s="10">
        <v>44236</v>
      </c>
      <c r="F98" s="32">
        <v>29500</v>
      </c>
      <c r="G98" s="10">
        <v>44236</v>
      </c>
      <c r="H98" s="32">
        <v>29500</v>
      </c>
      <c r="I98" s="90">
        <f>+F98-H98</f>
        <v>0</v>
      </c>
      <c r="J98" s="118" t="s">
        <v>1572</v>
      </c>
    </row>
    <row r="99" spans="1:10" s="14" customFormat="1">
      <c r="A99" s="155"/>
      <c r="B99" s="156"/>
      <c r="C99" s="19"/>
      <c r="D99" s="25"/>
      <c r="E99" s="10"/>
      <c r="F99" s="32"/>
      <c r="G99" s="10"/>
      <c r="H99" s="32"/>
      <c r="I99" s="90"/>
      <c r="J99" s="118"/>
    </row>
    <row r="100" spans="1:10" s="117" customFormat="1">
      <c r="A100" s="155"/>
      <c r="B100" s="156" t="s">
        <v>1171</v>
      </c>
      <c r="C100" s="19" t="s">
        <v>102</v>
      </c>
      <c r="D100" s="25" t="s">
        <v>2201</v>
      </c>
      <c r="E100" s="10">
        <v>44510</v>
      </c>
      <c r="F100" s="32">
        <v>35400</v>
      </c>
      <c r="G100" s="10">
        <v>44510</v>
      </c>
      <c r="H100" s="32">
        <v>35400</v>
      </c>
      <c r="I100" s="90">
        <f>+F100-H100</f>
        <v>0</v>
      </c>
      <c r="J100" s="118" t="s">
        <v>1572</v>
      </c>
    </row>
    <row r="101" spans="1:10" s="117" customFormat="1">
      <c r="A101" s="155"/>
      <c r="B101" s="156"/>
      <c r="C101" s="19"/>
      <c r="D101" s="25"/>
      <c r="E101" s="10"/>
      <c r="F101" s="32"/>
      <c r="G101" s="10"/>
      <c r="H101" s="32"/>
      <c r="I101" s="90"/>
      <c r="J101" s="118"/>
    </row>
    <row r="102" spans="1:10" s="117" customFormat="1">
      <c r="A102" s="155"/>
      <c r="B102" s="156" t="s">
        <v>2024</v>
      </c>
      <c r="C102" s="19" t="s">
        <v>102</v>
      </c>
      <c r="D102" s="25" t="s">
        <v>2202</v>
      </c>
      <c r="E102" s="10">
        <v>44540</v>
      </c>
      <c r="F102" s="32">
        <v>35400</v>
      </c>
      <c r="G102" s="10">
        <v>44540</v>
      </c>
      <c r="H102" s="32">
        <v>35400</v>
      </c>
      <c r="I102" s="90">
        <f>+F102-H102</f>
        <v>0</v>
      </c>
      <c r="J102" s="118" t="s">
        <v>1572</v>
      </c>
    </row>
    <row r="103" spans="1:10" s="117" customFormat="1">
      <c r="A103" s="155"/>
      <c r="B103" s="156"/>
      <c r="C103" s="19"/>
      <c r="D103" s="25"/>
      <c r="E103" s="10"/>
      <c r="F103" s="32"/>
      <c r="G103" s="10"/>
      <c r="H103" s="32"/>
      <c r="I103" s="90"/>
      <c r="J103" s="118"/>
    </row>
    <row r="104" spans="1:10" s="14" customFormat="1">
      <c r="A104" s="155"/>
      <c r="B104" s="156" t="s">
        <v>1165</v>
      </c>
      <c r="C104" s="19" t="s">
        <v>102</v>
      </c>
      <c r="D104" s="25" t="s">
        <v>2203</v>
      </c>
      <c r="E104" s="10">
        <v>44326</v>
      </c>
      <c r="F104" s="32">
        <v>35400</v>
      </c>
      <c r="G104" s="10">
        <v>44326</v>
      </c>
      <c r="H104" s="32">
        <v>35400</v>
      </c>
      <c r="I104" s="90">
        <f>+F104-H104</f>
        <v>0</v>
      </c>
      <c r="J104" s="118" t="s">
        <v>1572</v>
      </c>
    </row>
    <row r="105" spans="1:10" s="14" customFormat="1">
      <c r="A105" s="155"/>
      <c r="B105" s="156"/>
      <c r="C105" s="19"/>
      <c r="D105" s="25"/>
      <c r="E105" s="10"/>
      <c r="F105" s="32"/>
      <c r="G105" s="10"/>
      <c r="H105" s="32"/>
      <c r="I105" s="90"/>
      <c r="J105" s="118"/>
    </row>
    <row r="106" spans="1:10" s="117" customFormat="1">
      <c r="A106" s="155"/>
      <c r="B106" s="156" t="s">
        <v>1853</v>
      </c>
      <c r="C106" s="19" t="s">
        <v>102</v>
      </c>
      <c r="D106" s="25" t="s">
        <v>980</v>
      </c>
      <c r="E106" s="10">
        <v>44236</v>
      </c>
      <c r="F106" s="32">
        <v>29500</v>
      </c>
      <c r="G106" s="10">
        <v>44236</v>
      </c>
      <c r="H106" s="32">
        <v>29500</v>
      </c>
      <c r="I106" s="90">
        <f>+F106-H106</f>
        <v>0</v>
      </c>
      <c r="J106" s="118" t="s">
        <v>1572</v>
      </c>
    </row>
    <row r="107" spans="1:10" s="117" customFormat="1">
      <c r="A107" s="155"/>
      <c r="B107" s="156" t="s">
        <v>1853</v>
      </c>
      <c r="C107" s="19" t="s">
        <v>102</v>
      </c>
      <c r="D107" s="25" t="s">
        <v>744</v>
      </c>
      <c r="E107" s="10">
        <v>44510</v>
      </c>
      <c r="F107" s="32">
        <v>29500</v>
      </c>
      <c r="G107" s="10">
        <v>44510</v>
      </c>
      <c r="H107" s="32">
        <v>29500</v>
      </c>
      <c r="I107" s="90">
        <f>+F107-H107</f>
        <v>0</v>
      </c>
      <c r="J107" s="118" t="s">
        <v>1572</v>
      </c>
    </row>
    <row r="108" spans="1:10" s="117" customFormat="1">
      <c r="A108" s="155"/>
      <c r="B108" s="156"/>
      <c r="C108" s="19"/>
      <c r="D108" s="25"/>
      <c r="E108" s="10"/>
      <c r="F108" s="32"/>
      <c r="G108" s="10"/>
      <c r="H108" s="32"/>
      <c r="I108" s="90"/>
      <c r="J108" s="118"/>
    </row>
    <row r="109" spans="1:10" s="14" customFormat="1">
      <c r="A109" s="155"/>
      <c r="B109" s="156" t="s">
        <v>1153</v>
      </c>
      <c r="C109" s="19" t="s">
        <v>102</v>
      </c>
      <c r="D109" s="25" t="s">
        <v>2204</v>
      </c>
      <c r="E109" s="10">
        <v>44236</v>
      </c>
      <c r="F109" s="32">
        <v>47200</v>
      </c>
      <c r="G109" s="10">
        <v>44236</v>
      </c>
      <c r="H109" s="32">
        <v>47200</v>
      </c>
      <c r="I109" s="90">
        <f>+F109-H109</f>
        <v>0</v>
      </c>
      <c r="J109" s="118" t="s">
        <v>1572</v>
      </c>
    </row>
    <row r="110" spans="1:10" s="14" customFormat="1">
      <c r="A110" s="155"/>
      <c r="B110" s="156"/>
      <c r="C110" s="19"/>
      <c r="D110" s="25"/>
      <c r="E110" s="10"/>
      <c r="F110" s="32"/>
      <c r="G110" s="10"/>
      <c r="H110" s="32"/>
      <c r="I110" s="90"/>
      <c r="J110" s="118"/>
    </row>
    <row r="111" spans="1:10" s="117" customFormat="1">
      <c r="A111" s="155"/>
      <c r="B111" s="156" t="s">
        <v>2134</v>
      </c>
      <c r="C111" s="19" t="s">
        <v>102</v>
      </c>
      <c r="D111" s="25" t="s">
        <v>889</v>
      </c>
      <c r="E111" s="10">
        <v>44356</v>
      </c>
      <c r="F111" s="32">
        <v>23600</v>
      </c>
      <c r="G111" s="10">
        <v>44356</v>
      </c>
      <c r="H111" s="32">
        <v>23600</v>
      </c>
      <c r="I111" s="90">
        <f>+F111-H111</f>
        <v>0</v>
      </c>
      <c r="J111" s="118" t="s">
        <v>1572</v>
      </c>
    </row>
    <row r="112" spans="1:10" s="117" customFormat="1">
      <c r="A112" s="155"/>
      <c r="B112" s="156" t="s">
        <v>2134</v>
      </c>
      <c r="C112" s="19" t="s">
        <v>102</v>
      </c>
      <c r="D112" s="25" t="s">
        <v>896</v>
      </c>
      <c r="E112" s="10">
        <v>44356</v>
      </c>
      <c r="F112" s="32">
        <v>23600</v>
      </c>
      <c r="G112" s="10">
        <v>44356</v>
      </c>
      <c r="H112" s="32">
        <v>23600</v>
      </c>
      <c r="I112" s="90">
        <f>+F112-H112</f>
        <v>0</v>
      </c>
      <c r="J112" s="118" t="s">
        <v>1572</v>
      </c>
    </row>
    <row r="113" spans="1:10" s="117" customFormat="1">
      <c r="A113" s="155"/>
      <c r="B113" s="156"/>
      <c r="C113" s="19"/>
      <c r="D113" s="25"/>
      <c r="E113" s="10"/>
      <c r="F113" s="32"/>
      <c r="G113" s="10"/>
      <c r="H113" s="32"/>
      <c r="I113" s="90"/>
      <c r="J113" s="118"/>
    </row>
    <row r="114" spans="1:10" s="117" customFormat="1">
      <c r="A114" s="155"/>
      <c r="B114" s="156" t="s">
        <v>2130</v>
      </c>
      <c r="C114" s="19" t="s">
        <v>102</v>
      </c>
      <c r="D114" s="25" t="s">
        <v>934</v>
      </c>
      <c r="E114" s="10">
        <v>44205</v>
      </c>
      <c r="F114" s="32">
        <v>35400</v>
      </c>
      <c r="G114" s="10">
        <v>44205</v>
      </c>
      <c r="H114" s="32">
        <v>35400</v>
      </c>
      <c r="I114" s="90">
        <f>+F114-H114</f>
        <v>0</v>
      </c>
      <c r="J114" s="118" t="s">
        <v>1572</v>
      </c>
    </row>
    <row r="115" spans="1:10" s="117" customFormat="1">
      <c r="A115" s="155"/>
      <c r="B115" s="156" t="s">
        <v>2130</v>
      </c>
      <c r="C115" s="19" t="s">
        <v>102</v>
      </c>
      <c r="D115" s="25" t="s">
        <v>881</v>
      </c>
      <c r="E115" s="10">
        <v>44236</v>
      </c>
      <c r="F115" s="32">
        <v>35400</v>
      </c>
      <c r="G115" s="10">
        <v>44236</v>
      </c>
      <c r="H115" s="32">
        <v>35400</v>
      </c>
      <c r="I115" s="90">
        <f>+F115-H115</f>
        <v>0</v>
      </c>
      <c r="J115" s="118" t="s">
        <v>1572</v>
      </c>
    </row>
    <row r="116" spans="1:10" s="117" customFormat="1">
      <c r="A116" s="155"/>
      <c r="B116" s="156"/>
      <c r="C116" s="19"/>
      <c r="D116" s="25"/>
      <c r="E116" s="10"/>
      <c r="F116" s="32"/>
      <c r="G116" s="10"/>
      <c r="H116" s="32"/>
      <c r="I116" s="90"/>
      <c r="J116" s="118"/>
    </row>
    <row r="117" spans="1:10" s="117" customFormat="1">
      <c r="A117" s="155"/>
      <c r="B117" s="156" t="s">
        <v>1162</v>
      </c>
      <c r="C117" s="19" t="s">
        <v>102</v>
      </c>
      <c r="D117" s="25" t="s">
        <v>2205</v>
      </c>
      <c r="E117" s="10">
        <v>44205</v>
      </c>
      <c r="F117" s="32">
        <v>35400</v>
      </c>
      <c r="G117" s="10">
        <v>44205</v>
      </c>
      <c r="H117" s="32">
        <v>35400</v>
      </c>
      <c r="I117" s="90">
        <f>+F117-H117</f>
        <v>0</v>
      </c>
      <c r="J117" s="118" t="s">
        <v>1572</v>
      </c>
    </row>
    <row r="118" spans="1:10" s="117" customFormat="1">
      <c r="A118" s="155"/>
      <c r="B118" s="156" t="s">
        <v>1162</v>
      </c>
      <c r="C118" s="19" t="s">
        <v>102</v>
      </c>
      <c r="D118" s="25" t="s">
        <v>2206</v>
      </c>
      <c r="E118" s="10">
        <v>44205</v>
      </c>
      <c r="F118" s="32">
        <v>35400</v>
      </c>
      <c r="G118" s="10">
        <v>44205</v>
      </c>
      <c r="H118" s="32">
        <v>35400</v>
      </c>
      <c r="I118" s="90">
        <f>+F118-H118</f>
        <v>0</v>
      </c>
      <c r="J118" s="118" t="s">
        <v>1572</v>
      </c>
    </row>
    <row r="119" spans="1:10" s="117" customFormat="1">
      <c r="A119" s="155"/>
      <c r="B119" s="156"/>
      <c r="C119" s="19"/>
      <c r="D119" s="25"/>
      <c r="E119" s="10"/>
      <c r="F119" s="32"/>
      <c r="G119" s="10"/>
      <c r="H119" s="32"/>
      <c r="I119" s="90"/>
      <c r="J119" s="118"/>
    </row>
    <row r="120" spans="1:10" s="14" customFormat="1">
      <c r="A120" s="155"/>
      <c r="B120" s="156" t="s">
        <v>2131</v>
      </c>
      <c r="C120" s="19" t="s">
        <v>102</v>
      </c>
      <c r="D120" s="25" t="s">
        <v>934</v>
      </c>
      <c r="E120" s="10">
        <v>44205</v>
      </c>
      <c r="F120" s="32">
        <v>35400</v>
      </c>
      <c r="G120" s="10">
        <v>44205</v>
      </c>
      <c r="H120" s="32">
        <v>35400</v>
      </c>
      <c r="I120" s="90">
        <f>+F120-H120</f>
        <v>0</v>
      </c>
      <c r="J120" s="118" t="s">
        <v>1572</v>
      </c>
    </row>
    <row r="121" spans="1:10" s="14" customFormat="1">
      <c r="A121" s="155"/>
      <c r="B121" s="156" t="s">
        <v>2131</v>
      </c>
      <c r="C121" s="19" t="s">
        <v>102</v>
      </c>
      <c r="D121" s="25" t="s">
        <v>592</v>
      </c>
      <c r="E121" s="10">
        <v>44205</v>
      </c>
      <c r="F121" s="32">
        <v>35400</v>
      </c>
      <c r="G121" s="10">
        <v>44205</v>
      </c>
      <c r="H121" s="32">
        <v>35400</v>
      </c>
      <c r="I121" s="90">
        <f>+F121-H121</f>
        <v>0</v>
      </c>
      <c r="J121" s="118" t="s">
        <v>1572</v>
      </c>
    </row>
    <row r="122" spans="1:10" s="14" customFormat="1">
      <c r="A122" s="155"/>
      <c r="B122" s="156"/>
      <c r="C122" s="19"/>
      <c r="D122" s="17"/>
      <c r="E122" s="10"/>
      <c r="F122" s="32"/>
      <c r="G122" s="10"/>
      <c r="H122" s="157"/>
      <c r="I122" s="358"/>
      <c r="J122" s="359"/>
    </row>
    <row r="123" spans="1:10" s="117" customFormat="1">
      <c r="A123" s="155"/>
      <c r="B123" s="156" t="s">
        <v>1147</v>
      </c>
      <c r="C123" s="19" t="s">
        <v>102</v>
      </c>
      <c r="D123" s="25" t="s">
        <v>1001</v>
      </c>
      <c r="E123" s="10">
        <v>44478</v>
      </c>
      <c r="F123" s="32">
        <v>35400</v>
      </c>
      <c r="G123" s="10">
        <v>44478</v>
      </c>
      <c r="H123" s="32">
        <v>35400</v>
      </c>
      <c r="I123" s="90">
        <f>+F123-H123</f>
        <v>0</v>
      </c>
      <c r="J123" s="118" t="s">
        <v>1572</v>
      </c>
    </row>
    <row r="124" spans="1:10" s="117" customFormat="1">
      <c r="A124" s="155"/>
      <c r="B124" s="156" t="s">
        <v>1147</v>
      </c>
      <c r="C124" s="19" t="s">
        <v>102</v>
      </c>
      <c r="D124" s="25" t="s">
        <v>2165</v>
      </c>
      <c r="E124" s="10" t="s">
        <v>2156</v>
      </c>
      <c r="F124" s="32">
        <v>35400</v>
      </c>
      <c r="G124" s="10" t="s">
        <v>2156</v>
      </c>
      <c r="H124" s="32">
        <v>35400</v>
      </c>
      <c r="I124" s="90">
        <f>+F124-H124</f>
        <v>0</v>
      </c>
      <c r="J124" s="118" t="s">
        <v>1572</v>
      </c>
    </row>
    <row r="125" spans="1:10" s="117" customFormat="1">
      <c r="A125" s="155"/>
      <c r="B125" s="156"/>
      <c r="C125" s="19"/>
      <c r="D125" s="25"/>
      <c r="E125" s="10"/>
      <c r="F125" s="32"/>
      <c r="G125" s="10"/>
      <c r="H125" s="385"/>
      <c r="I125" s="90"/>
      <c r="J125" s="118"/>
    </row>
    <row r="126" spans="1:10" s="117" customFormat="1">
      <c r="A126" s="155"/>
      <c r="B126" s="156" t="s">
        <v>2132</v>
      </c>
      <c r="C126" s="19" t="s">
        <v>102</v>
      </c>
      <c r="D126" s="25" t="s">
        <v>2207</v>
      </c>
      <c r="E126" s="10">
        <v>44205</v>
      </c>
      <c r="F126" s="32">
        <v>59000</v>
      </c>
      <c r="G126" s="10">
        <v>44205</v>
      </c>
      <c r="H126" s="32">
        <v>59000</v>
      </c>
      <c r="I126" s="90">
        <f>+F126-H126</f>
        <v>0</v>
      </c>
      <c r="J126" s="118" t="s">
        <v>1572</v>
      </c>
    </row>
    <row r="127" spans="1:10" s="117" customFormat="1">
      <c r="A127" s="155"/>
      <c r="B127" s="156"/>
      <c r="C127" s="19"/>
      <c r="D127" s="17"/>
      <c r="E127" s="10"/>
      <c r="F127" s="32"/>
      <c r="G127" s="10"/>
      <c r="I127" s="90"/>
      <c r="J127" s="118"/>
    </row>
    <row r="128" spans="1:10" s="117" customFormat="1">
      <c r="A128" s="155"/>
      <c r="B128" s="156" t="s">
        <v>2079</v>
      </c>
      <c r="C128" s="19" t="s">
        <v>102</v>
      </c>
      <c r="D128" s="25" t="s">
        <v>882</v>
      </c>
      <c r="E128" s="10">
        <v>44236</v>
      </c>
      <c r="F128" s="32">
        <v>29500</v>
      </c>
      <c r="G128" s="10">
        <v>44236</v>
      </c>
      <c r="H128" s="32">
        <v>29500</v>
      </c>
      <c r="I128" s="90">
        <f>+F128-H128</f>
        <v>0</v>
      </c>
      <c r="J128" s="118" t="s">
        <v>1572</v>
      </c>
    </row>
    <row r="129" spans="1:10" s="117" customFormat="1">
      <c r="A129" s="155"/>
      <c r="B129" s="156" t="s">
        <v>2079</v>
      </c>
      <c r="C129" s="19" t="s">
        <v>102</v>
      </c>
      <c r="D129" s="25" t="s">
        <v>883</v>
      </c>
      <c r="E129" s="10">
        <v>44207</v>
      </c>
      <c r="F129" s="32">
        <v>29500</v>
      </c>
      <c r="G129" s="10">
        <v>44207</v>
      </c>
      <c r="H129" s="32">
        <v>29500</v>
      </c>
      <c r="I129" s="90">
        <f>+F129-H129</f>
        <v>0</v>
      </c>
      <c r="J129" s="118" t="s">
        <v>1572</v>
      </c>
    </row>
    <row r="130" spans="1:10" s="117" customFormat="1">
      <c r="A130" s="155"/>
      <c r="B130" s="156"/>
      <c r="C130" s="19"/>
      <c r="D130" s="17"/>
      <c r="E130" s="10"/>
      <c r="F130" s="32"/>
      <c r="G130" s="10"/>
      <c r="H130" s="32"/>
      <c r="I130" s="90"/>
      <c r="J130" s="118"/>
    </row>
    <row r="131" spans="1:10" s="14" customFormat="1">
      <c r="A131" s="155"/>
      <c r="B131" s="156" t="s">
        <v>1163</v>
      </c>
      <c r="C131" s="19" t="s">
        <v>102</v>
      </c>
      <c r="D131" s="25" t="s">
        <v>2196</v>
      </c>
      <c r="E131" s="10">
        <v>44205</v>
      </c>
      <c r="F131" s="32">
        <v>35400</v>
      </c>
      <c r="G131" s="10">
        <v>44205</v>
      </c>
      <c r="H131" s="32">
        <v>35400</v>
      </c>
      <c r="I131" s="90">
        <f>+F131-H131</f>
        <v>0</v>
      </c>
      <c r="J131" s="118" t="s">
        <v>1572</v>
      </c>
    </row>
    <row r="132" spans="1:10" s="14" customFormat="1">
      <c r="A132" s="155"/>
      <c r="B132" s="156" t="s">
        <v>1163</v>
      </c>
      <c r="C132" s="19" t="s">
        <v>102</v>
      </c>
      <c r="D132" s="25" t="s">
        <v>2153</v>
      </c>
      <c r="E132" s="10" t="s">
        <v>2208</v>
      </c>
      <c r="F132" s="32">
        <v>35400</v>
      </c>
      <c r="G132" s="10" t="s">
        <v>2208</v>
      </c>
      <c r="H132" s="32">
        <v>35400</v>
      </c>
      <c r="I132" s="90">
        <f>+F132-H132</f>
        <v>0</v>
      </c>
      <c r="J132" s="118" t="s">
        <v>1572</v>
      </c>
    </row>
    <row r="133" spans="1:10" s="14" customFormat="1">
      <c r="A133" s="155"/>
      <c r="B133" s="156"/>
      <c r="C133" s="19"/>
      <c r="D133" s="17"/>
      <c r="E133" s="10"/>
      <c r="F133" s="32"/>
      <c r="G133" s="10"/>
      <c r="H133" s="32"/>
      <c r="I133" s="90"/>
      <c r="J133" s="118"/>
    </row>
    <row r="134" spans="1:10" s="14" customFormat="1">
      <c r="A134" s="155"/>
      <c r="B134" s="156" t="s">
        <v>1151</v>
      </c>
      <c r="C134" s="19" t="s">
        <v>102</v>
      </c>
      <c r="D134" s="25" t="s">
        <v>2165</v>
      </c>
      <c r="E134" s="10" t="s">
        <v>2208</v>
      </c>
      <c r="F134" s="32">
        <v>35400</v>
      </c>
      <c r="G134" s="10" t="s">
        <v>2208</v>
      </c>
      <c r="H134" s="32">
        <v>35400</v>
      </c>
      <c r="I134" s="90">
        <f>+F134-H134</f>
        <v>0</v>
      </c>
      <c r="J134" s="118" t="s">
        <v>1572</v>
      </c>
    </row>
    <row r="135" spans="1:10" s="14" customFormat="1">
      <c r="A135" s="155"/>
      <c r="B135" s="156" t="s">
        <v>1151</v>
      </c>
      <c r="C135" s="19" t="s">
        <v>102</v>
      </c>
      <c r="D135" s="25" t="s">
        <v>2162</v>
      </c>
      <c r="E135" s="10" t="s">
        <v>2172</v>
      </c>
      <c r="F135" s="32">
        <v>35400</v>
      </c>
      <c r="G135" s="10" t="s">
        <v>2172</v>
      </c>
      <c r="H135" s="32">
        <v>35400</v>
      </c>
      <c r="I135" s="90">
        <f>+F135-H135</f>
        <v>0</v>
      </c>
      <c r="J135" s="118" t="s">
        <v>1572</v>
      </c>
    </row>
    <row r="136" spans="1:10" s="14" customFormat="1">
      <c r="A136" s="155"/>
      <c r="B136" s="156"/>
      <c r="C136" s="19"/>
      <c r="D136" s="17"/>
      <c r="E136" s="10"/>
      <c r="F136" s="32"/>
      <c r="G136" s="10"/>
      <c r="H136" s="32"/>
      <c r="I136" s="90"/>
      <c r="J136" s="118"/>
    </row>
    <row r="137" spans="1:10" s="14" customFormat="1">
      <c r="A137" s="155"/>
      <c r="B137" s="156" t="s">
        <v>1160</v>
      </c>
      <c r="C137" s="19" t="s">
        <v>102</v>
      </c>
      <c r="D137" s="25" t="s">
        <v>2209</v>
      </c>
      <c r="E137" s="10">
        <v>44205</v>
      </c>
      <c r="F137" s="32">
        <v>23600</v>
      </c>
      <c r="G137" s="10">
        <v>44205</v>
      </c>
      <c r="H137" s="32">
        <v>23600</v>
      </c>
      <c r="I137" s="90">
        <f>+F137-H137</f>
        <v>0</v>
      </c>
      <c r="J137" s="118" t="s">
        <v>1572</v>
      </c>
    </row>
    <row r="138" spans="1:10" s="14" customFormat="1">
      <c r="A138" s="155"/>
      <c r="B138" s="156" t="s">
        <v>1160</v>
      </c>
      <c r="C138" s="19" t="s">
        <v>102</v>
      </c>
      <c r="D138" s="25" t="s">
        <v>954</v>
      </c>
      <c r="E138" s="10" t="s">
        <v>2211</v>
      </c>
      <c r="F138" s="32">
        <v>23600</v>
      </c>
      <c r="G138" s="10" t="s">
        <v>2211</v>
      </c>
      <c r="H138" s="32">
        <v>23600</v>
      </c>
      <c r="I138" s="90">
        <f>+F138-H138</f>
        <v>0</v>
      </c>
      <c r="J138" s="118" t="s">
        <v>1572</v>
      </c>
    </row>
    <row r="139" spans="1:10" s="14" customFormat="1">
      <c r="A139" s="155"/>
      <c r="B139" s="156" t="s">
        <v>1160</v>
      </c>
      <c r="C139" s="19" t="s">
        <v>102</v>
      </c>
      <c r="D139" s="25" t="s">
        <v>2210</v>
      </c>
      <c r="E139" s="10" t="s">
        <v>2156</v>
      </c>
      <c r="F139" s="32">
        <v>23600</v>
      </c>
      <c r="G139" s="10" t="s">
        <v>2156</v>
      </c>
      <c r="H139" s="32">
        <v>23600</v>
      </c>
      <c r="I139" s="90">
        <f>+F139-H139</f>
        <v>0</v>
      </c>
      <c r="J139" s="118" t="s">
        <v>1572</v>
      </c>
    </row>
    <row r="140" spans="1:10" s="14" customFormat="1">
      <c r="A140" s="155"/>
      <c r="B140" s="156"/>
      <c r="C140" s="19"/>
      <c r="D140" s="17"/>
      <c r="E140" s="10"/>
      <c r="F140" s="32"/>
      <c r="G140" s="10"/>
      <c r="H140" s="157"/>
      <c r="I140" s="358"/>
      <c r="J140" s="359"/>
    </row>
    <row r="141" spans="1:10" s="117" customFormat="1">
      <c r="A141" s="155"/>
      <c r="B141" s="156" t="s">
        <v>1164</v>
      </c>
      <c r="C141" s="19" t="s">
        <v>102</v>
      </c>
      <c r="D141" s="25" t="s">
        <v>2212</v>
      </c>
      <c r="E141" s="10">
        <v>44478</v>
      </c>
      <c r="F141" s="32">
        <v>35400</v>
      </c>
      <c r="G141" s="10">
        <v>44478</v>
      </c>
      <c r="H141" s="32">
        <v>35400</v>
      </c>
      <c r="I141" s="90">
        <f>+F141-H141</f>
        <v>0</v>
      </c>
      <c r="J141" s="118" t="s">
        <v>1572</v>
      </c>
    </row>
    <row r="142" spans="1:10" s="117" customFormat="1">
      <c r="A142" s="155"/>
      <c r="B142" s="156" t="s">
        <v>1164</v>
      </c>
      <c r="C142" s="19" t="s">
        <v>102</v>
      </c>
      <c r="D142" s="25" t="s">
        <v>2213</v>
      </c>
      <c r="E142" s="10">
        <v>44540</v>
      </c>
      <c r="F142" s="32">
        <v>35400</v>
      </c>
      <c r="G142" s="10">
        <v>44540</v>
      </c>
      <c r="H142" s="32">
        <v>35400</v>
      </c>
      <c r="I142" s="90">
        <f>+F142-H142</f>
        <v>0</v>
      </c>
      <c r="J142" s="118" t="s">
        <v>1572</v>
      </c>
    </row>
    <row r="143" spans="1:10" s="117" customFormat="1">
      <c r="A143" s="155"/>
      <c r="B143" s="156"/>
      <c r="C143" s="19"/>
      <c r="D143" s="17"/>
      <c r="E143" s="10"/>
      <c r="F143" s="32"/>
      <c r="G143" s="10"/>
      <c r="H143" s="32"/>
      <c r="I143" s="90"/>
      <c r="J143" s="118"/>
    </row>
    <row r="144" spans="1:10" s="117" customFormat="1">
      <c r="A144" s="155"/>
      <c r="B144" s="156" t="s">
        <v>2060</v>
      </c>
      <c r="C144" s="19" t="s">
        <v>142</v>
      </c>
      <c r="D144" s="17" t="s">
        <v>2214</v>
      </c>
      <c r="E144" s="10" t="s">
        <v>2208</v>
      </c>
      <c r="F144" s="32">
        <v>99120</v>
      </c>
      <c r="G144" s="10" t="s">
        <v>2208</v>
      </c>
      <c r="H144" s="32">
        <v>99120</v>
      </c>
      <c r="I144" s="90">
        <f>+F144-H144</f>
        <v>0</v>
      </c>
      <c r="J144" s="118" t="s">
        <v>1572</v>
      </c>
    </row>
    <row r="145" spans="1:10" s="117" customFormat="1">
      <c r="A145" s="155"/>
      <c r="B145" s="157"/>
      <c r="C145" s="19"/>
      <c r="D145" s="17"/>
      <c r="E145" s="10"/>
      <c r="F145" s="32"/>
      <c r="G145" s="10"/>
      <c r="H145" s="32"/>
      <c r="I145" s="90"/>
      <c r="J145" s="118"/>
    </row>
    <row r="146" spans="1:10" s="117" customFormat="1">
      <c r="A146" s="155"/>
      <c r="B146" s="156" t="s">
        <v>2051</v>
      </c>
      <c r="C146" s="19" t="s">
        <v>570</v>
      </c>
      <c r="D146" s="17" t="s">
        <v>1658</v>
      </c>
      <c r="E146" s="10">
        <v>44511</v>
      </c>
      <c r="F146" s="32">
        <v>120000</v>
      </c>
      <c r="G146" s="10">
        <v>44511</v>
      </c>
      <c r="H146" s="32">
        <v>120000</v>
      </c>
      <c r="I146" s="90">
        <f>+F146-H146</f>
        <v>0</v>
      </c>
      <c r="J146" s="118" t="s">
        <v>1572</v>
      </c>
    </row>
    <row r="147" spans="1:10" s="117" customFormat="1">
      <c r="A147" s="155"/>
      <c r="B147" s="156"/>
      <c r="C147" s="19"/>
      <c r="D147" s="17"/>
      <c r="E147" s="10"/>
      <c r="F147" s="32"/>
      <c r="G147" s="10"/>
      <c r="H147" s="32"/>
      <c r="I147" s="90"/>
      <c r="J147" s="118"/>
    </row>
    <row r="148" spans="1:10" s="14" customFormat="1">
      <c r="A148" s="155"/>
      <c r="B148" s="156" t="s">
        <v>1152</v>
      </c>
      <c r="C148" s="19" t="s">
        <v>102</v>
      </c>
      <c r="D148" s="25" t="s">
        <v>2154</v>
      </c>
      <c r="E148" s="10" t="s">
        <v>2215</v>
      </c>
      <c r="F148" s="32">
        <v>59000</v>
      </c>
      <c r="G148" s="10" t="s">
        <v>2215</v>
      </c>
      <c r="H148" s="32">
        <v>59000</v>
      </c>
      <c r="I148" s="90">
        <f>+F148-H148</f>
        <v>0</v>
      </c>
      <c r="J148" s="118" t="s">
        <v>1572</v>
      </c>
    </row>
    <row r="149" spans="1:10" s="14" customFormat="1">
      <c r="A149" s="155"/>
      <c r="B149" s="156" t="s">
        <v>1152</v>
      </c>
      <c r="C149" s="19" t="s">
        <v>102</v>
      </c>
      <c r="D149" s="25" t="s">
        <v>1481</v>
      </c>
      <c r="E149" s="10" t="s">
        <v>2215</v>
      </c>
      <c r="F149" s="32">
        <v>59000</v>
      </c>
      <c r="G149" s="10" t="s">
        <v>2215</v>
      </c>
      <c r="H149" s="32">
        <v>59000</v>
      </c>
      <c r="I149" s="90">
        <f>+F149-H149</f>
        <v>0</v>
      </c>
      <c r="J149" s="118" t="s">
        <v>1572</v>
      </c>
    </row>
    <row r="150" spans="1:10" s="14" customFormat="1">
      <c r="A150" s="155"/>
      <c r="B150" s="156" t="s">
        <v>1152</v>
      </c>
      <c r="C150" s="19" t="s">
        <v>102</v>
      </c>
      <c r="D150" s="25" t="s">
        <v>1567</v>
      </c>
      <c r="E150" s="10" t="s">
        <v>2215</v>
      </c>
      <c r="F150" s="32">
        <v>59000</v>
      </c>
      <c r="G150" s="10" t="s">
        <v>2215</v>
      </c>
      <c r="H150" s="32">
        <v>59000</v>
      </c>
      <c r="I150" s="90">
        <f>+F150-H150</f>
        <v>0</v>
      </c>
      <c r="J150" s="118" t="s">
        <v>1572</v>
      </c>
    </row>
    <row r="151" spans="1:10" s="14" customFormat="1">
      <c r="A151" s="155"/>
      <c r="B151" s="156" t="s">
        <v>1152</v>
      </c>
      <c r="C151" s="19" t="s">
        <v>102</v>
      </c>
      <c r="D151" s="25" t="s">
        <v>1482</v>
      </c>
      <c r="E151" s="10" t="s">
        <v>2215</v>
      </c>
      <c r="F151" s="32">
        <v>59000</v>
      </c>
      <c r="G151" s="10" t="s">
        <v>2215</v>
      </c>
      <c r="H151" s="32">
        <v>59000</v>
      </c>
      <c r="I151" s="90">
        <f>+F151-H151</f>
        <v>0</v>
      </c>
      <c r="J151" s="118" t="s">
        <v>1572</v>
      </c>
    </row>
    <row r="152" spans="1:10" s="14" customFormat="1">
      <c r="A152" s="155"/>
      <c r="B152" s="156"/>
      <c r="C152" s="19"/>
      <c r="D152" s="17"/>
      <c r="E152" s="10"/>
      <c r="F152" s="32"/>
      <c r="G152" s="10"/>
      <c r="H152" s="157"/>
      <c r="I152" s="358"/>
      <c r="J152" s="359"/>
    </row>
    <row r="153" spans="1:10" s="117" customFormat="1">
      <c r="A153" s="155"/>
      <c r="B153" s="156" t="s">
        <v>1332</v>
      </c>
      <c r="C153" s="19" t="s">
        <v>597</v>
      </c>
      <c r="D153" s="17" t="s">
        <v>2216</v>
      </c>
      <c r="E153" s="10">
        <v>44207</v>
      </c>
      <c r="F153" s="32">
        <v>222462.5</v>
      </c>
      <c r="G153" s="10">
        <v>44512</v>
      </c>
      <c r="H153" s="32">
        <v>222462.5</v>
      </c>
      <c r="I153" s="90">
        <f>+F153-H153</f>
        <v>0</v>
      </c>
      <c r="J153" s="118" t="s">
        <v>1572</v>
      </c>
    </row>
    <row r="154" spans="1:10" s="117" customFormat="1">
      <c r="A154" s="155"/>
      <c r="B154" s="156" t="s">
        <v>1332</v>
      </c>
      <c r="C154" s="19" t="s">
        <v>597</v>
      </c>
      <c r="D154" s="17" t="s">
        <v>2217</v>
      </c>
      <c r="E154" s="10">
        <v>44207</v>
      </c>
      <c r="F154" s="32">
        <v>287674.05</v>
      </c>
      <c r="G154" s="10">
        <v>44512</v>
      </c>
      <c r="H154" s="32">
        <v>287674.05</v>
      </c>
      <c r="I154" s="90">
        <f>+F154-H154</f>
        <v>0</v>
      </c>
      <c r="J154" s="118" t="s">
        <v>1572</v>
      </c>
    </row>
    <row r="155" spans="1:10" s="117" customFormat="1">
      <c r="A155" s="155"/>
      <c r="B155" s="156" t="s">
        <v>1332</v>
      </c>
      <c r="C155" s="19" t="s">
        <v>597</v>
      </c>
      <c r="D155" s="17" t="s">
        <v>2218</v>
      </c>
      <c r="E155" s="10">
        <v>44207</v>
      </c>
      <c r="F155" s="32">
        <v>2587</v>
      </c>
      <c r="G155" s="10">
        <v>44512</v>
      </c>
      <c r="H155" s="32">
        <v>2587</v>
      </c>
      <c r="I155" s="90">
        <f>+F155-H155</f>
        <v>0</v>
      </c>
      <c r="J155" s="118" t="s">
        <v>1572</v>
      </c>
    </row>
    <row r="156" spans="1:10" s="117" customFormat="1">
      <c r="A156" s="155"/>
      <c r="B156" s="156"/>
      <c r="C156" s="19"/>
      <c r="D156" s="17"/>
      <c r="E156" s="10"/>
      <c r="F156" s="32"/>
      <c r="G156" s="10"/>
      <c r="H156" s="32"/>
      <c r="I156" s="90"/>
      <c r="J156" s="118"/>
    </row>
    <row r="157" spans="1:10" s="14" customFormat="1">
      <c r="A157" s="155"/>
      <c r="B157" s="156" t="s">
        <v>1906</v>
      </c>
      <c r="C157" s="19" t="s">
        <v>570</v>
      </c>
      <c r="D157" s="17" t="s">
        <v>2219</v>
      </c>
      <c r="E157" s="10">
        <v>44418</v>
      </c>
      <c r="F157" s="32">
        <v>741417.6</v>
      </c>
      <c r="G157" s="10" t="s">
        <v>2220</v>
      </c>
      <c r="H157" s="32">
        <v>741417.6</v>
      </c>
      <c r="I157" s="90">
        <f>+F157-H157</f>
        <v>0</v>
      </c>
      <c r="J157" s="118" t="s">
        <v>1572</v>
      </c>
    </row>
    <row r="158" spans="1:10" s="14" customFormat="1">
      <c r="A158" s="155"/>
      <c r="B158" s="156"/>
      <c r="C158" s="19"/>
      <c r="D158" s="17"/>
      <c r="E158" s="10"/>
      <c r="F158" s="32"/>
      <c r="G158" s="10"/>
      <c r="H158" s="157"/>
      <c r="I158" s="358"/>
      <c r="J158" s="359"/>
    </row>
    <row r="159" spans="1:10" s="117" customFormat="1">
      <c r="A159" s="155"/>
      <c r="B159" s="156" t="s">
        <v>1906</v>
      </c>
      <c r="C159" s="19" t="s">
        <v>570</v>
      </c>
      <c r="D159" s="17" t="s">
        <v>1493</v>
      </c>
      <c r="E159" s="10">
        <v>44387</v>
      </c>
      <c r="F159" s="32">
        <v>757872</v>
      </c>
      <c r="G159" s="10">
        <v>44387</v>
      </c>
      <c r="H159" s="32">
        <v>757872</v>
      </c>
      <c r="I159" s="90">
        <f>+F159-H159</f>
        <v>0</v>
      </c>
      <c r="J159" s="118" t="s">
        <v>1572</v>
      </c>
    </row>
    <row r="160" spans="1:10" s="117" customFormat="1">
      <c r="A160" s="155"/>
      <c r="B160" s="156"/>
      <c r="C160" s="19"/>
      <c r="D160" s="17"/>
      <c r="E160" s="10"/>
      <c r="F160" s="32"/>
      <c r="G160" s="10"/>
      <c r="H160" s="32"/>
      <c r="I160" s="90"/>
      <c r="J160" s="118"/>
    </row>
    <row r="161" spans="1:10" s="14" customFormat="1">
      <c r="A161" s="155"/>
      <c r="B161" s="156" t="s">
        <v>2061</v>
      </c>
      <c r="C161" s="19" t="s">
        <v>570</v>
      </c>
      <c r="D161" s="17" t="s">
        <v>633</v>
      </c>
      <c r="E161" s="10">
        <v>44387</v>
      </c>
      <c r="F161" s="32">
        <v>767050</v>
      </c>
      <c r="G161" s="10">
        <v>44387</v>
      </c>
      <c r="H161" s="32">
        <v>767050</v>
      </c>
      <c r="I161" s="90">
        <f>+F161-H161</f>
        <v>0</v>
      </c>
      <c r="J161" s="118" t="s">
        <v>1572</v>
      </c>
    </row>
    <row r="162" spans="1:10" s="14" customFormat="1">
      <c r="A162" s="155"/>
      <c r="B162" s="156"/>
      <c r="C162" s="19"/>
      <c r="D162" s="17"/>
      <c r="E162" s="10"/>
      <c r="F162" s="32"/>
      <c r="G162" s="10"/>
      <c r="H162" s="32"/>
      <c r="I162" s="90"/>
      <c r="J162" s="118"/>
    </row>
    <row r="163" spans="1:10" s="117" customFormat="1">
      <c r="A163" s="155"/>
      <c r="B163" s="156" t="s">
        <v>1096</v>
      </c>
      <c r="C163" s="19" t="s">
        <v>2221</v>
      </c>
      <c r="D163" s="17" t="s">
        <v>2222</v>
      </c>
      <c r="E163" s="10">
        <v>44480</v>
      </c>
      <c r="F163" s="32">
        <v>767600</v>
      </c>
      <c r="G163" s="10">
        <v>44480</v>
      </c>
      <c r="H163" s="32">
        <v>767600</v>
      </c>
      <c r="I163" s="90">
        <f>+F163-H163</f>
        <v>0</v>
      </c>
      <c r="J163" s="118" t="s">
        <v>1572</v>
      </c>
    </row>
    <row r="164" spans="1:10" s="117" customFormat="1">
      <c r="A164" s="155"/>
      <c r="B164" s="156"/>
      <c r="C164" s="19"/>
      <c r="D164" s="17"/>
      <c r="E164" s="10"/>
      <c r="F164" s="32"/>
      <c r="G164" s="10"/>
      <c r="H164" s="32"/>
      <c r="I164" s="90"/>
      <c r="J164" s="118"/>
    </row>
    <row r="165" spans="1:10" s="14" customFormat="1">
      <c r="A165" s="155"/>
      <c r="B165" s="156" t="s">
        <v>1906</v>
      </c>
      <c r="C165" s="19" t="s">
        <v>570</v>
      </c>
      <c r="D165" s="17" t="s">
        <v>2223</v>
      </c>
      <c r="E165" s="10">
        <v>44387</v>
      </c>
      <c r="F165" s="32">
        <v>831333.6</v>
      </c>
      <c r="G165" s="10">
        <v>44387</v>
      </c>
      <c r="H165" s="32">
        <v>831333.6</v>
      </c>
      <c r="I165" s="90">
        <f>+F165-H165</f>
        <v>0</v>
      </c>
      <c r="J165" s="118" t="s">
        <v>1572</v>
      </c>
    </row>
    <row r="166" spans="1:10" s="14" customFormat="1">
      <c r="A166" s="155"/>
      <c r="B166" s="156"/>
      <c r="C166" s="19"/>
      <c r="D166" s="17"/>
      <c r="E166" s="10"/>
      <c r="F166" s="32"/>
      <c r="G166" s="10"/>
      <c r="H166" s="32"/>
      <c r="I166" s="90"/>
      <c r="J166" s="118"/>
    </row>
    <row r="167" spans="1:10" s="117" customFormat="1">
      <c r="A167" s="155"/>
      <c r="B167" s="156" t="s">
        <v>1906</v>
      </c>
      <c r="C167" s="19" t="s">
        <v>570</v>
      </c>
      <c r="D167" s="17" t="s">
        <v>1482</v>
      </c>
      <c r="E167" s="10">
        <v>44387</v>
      </c>
      <c r="F167" s="32">
        <v>926515.19999999995</v>
      </c>
      <c r="G167" s="10">
        <v>44387</v>
      </c>
      <c r="H167" s="32">
        <v>926515.19999999995</v>
      </c>
      <c r="I167" s="90">
        <f>+F167-H167</f>
        <v>0</v>
      </c>
      <c r="J167" s="118" t="s">
        <v>1572</v>
      </c>
    </row>
    <row r="168" spans="1:10" s="117" customFormat="1">
      <c r="A168" s="155"/>
      <c r="B168" s="156"/>
      <c r="C168" s="19"/>
      <c r="D168" s="17"/>
      <c r="E168" s="10"/>
      <c r="F168" s="32"/>
      <c r="G168" s="10"/>
      <c r="H168" s="32"/>
      <c r="I168" s="90"/>
      <c r="J168" s="118"/>
    </row>
    <row r="169" spans="1:10" s="14" customFormat="1">
      <c r="A169" s="155"/>
      <c r="B169" s="156" t="s">
        <v>1856</v>
      </c>
      <c r="C169" s="19" t="s">
        <v>705</v>
      </c>
      <c r="D169" s="17" t="s">
        <v>2224</v>
      </c>
      <c r="E169" s="10" t="s">
        <v>2225</v>
      </c>
      <c r="F169" s="32">
        <v>5457.5</v>
      </c>
      <c r="G169" s="10" t="s">
        <v>2225</v>
      </c>
      <c r="H169" s="32">
        <v>5457.5</v>
      </c>
      <c r="I169" s="90">
        <f>+F169-H169</f>
        <v>0</v>
      </c>
      <c r="J169" s="118" t="s">
        <v>1572</v>
      </c>
    </row>
    <row r="170" spans="1:10" s="14" customFormat="1">
      <c r="A170" s="155"/>
      <c r="B170" s="156"/>
      <c r="C170" s="19"/>
      <c r="D170" s="17"/>
      <c r="E170" s="10"/>
      <c r="F170" s="32"/>
      <c r="G170" s="10"/>
      <c r="H170" s="32"/>
      <c r="I170" s="90"/>
      <c r="J170" s="118"/>
    </row>
    <row r="171" spans="1:10" s="117" customFormat="1">
      <c r="A171" s="155"/>
      <c r="B171" s="156" t="s">
        <v>1857</v>
      </c>
      <c r="C171" s="19" t="s">
        <v>102</v>
      </c>
      <c r="D171" s="17" t="s">
        <v>2196</v>
      </c>
      <c r="E171" s="10">
        <v>44236</v>
      </c>
      <c r="F171" s="32">
        <v>23600</v>
      </c>
      <c r="G171" s="10">
        <v>44236</v>
      </c>
      <c r="H171" s="32">
        <v>23600</v>
      </c>
      <c r="I171" s="90">
        <f>+F171-H171</f>
        <v>0</v>
      </c>
      <c r="J171" s="118" t="s">
        <v>1572</v>
      </c>
    </row>
    <row r="172" spans="1:10" s="117" customFormat="1">
      <c r="A172" s="155"/>
      <c r="B172" s="156"/>
      <c r="C172" s="19"/>
      <c r="D172" s="17"/>
      <c r="E172" s="10"/>
      <c r="F172" s="32"/>
      <c r="G172" s="10"/>
      <c r="H172" s="32"/>
      <c r="I172" s="90"/>
      <c r="J172" s="118"/>
    </row>
    <row r="173" spans="1:10" s="14" customFormat="1">
      <c r="A173" s="155"/>
      <c r="B173" s="156" t="s">
        <v>2133</v>
      </c>
      <c r="C173" s="19" t="s">
        <v>102</v>
      </c>
      <c r="D173" s="17" t="s">
        <v>592</v>
      </c>
      <c r="E173" s="10">
        <v>44205</v>
      </c>
      <c r="F173" s="32">
        <v>29500</v>
      </c>
      <c r="G173" s="10">
        <v>44205</v>
      </c>
      <c r="H173" s="32">
        <v>29500</v>
      </c>
      <c r="I173" s="90">
        <f>+F173-H173</f>
        <v>0</v>
      </c>
      <c r="J173" s="118" t="s">
        <v>1572</v>
      </c>
    </row>
    <row r="174" spans="1:10" s="14" customFormat="1">
      <c r="A174" s="155"/>
      <c r="B174" s="156"/>
      <c r="C174" s="19"/>
      <c r="D174" s="17"/>
      <c r="E174" s="10"/>
      <c r="F174" s="32"/>
      <c r="G174" s="10"/>
      <c r="H174" s="32"/>
      <c r="I174" s="90"/>
      <c r="J174" s="118"/>
    </row>
    <row r="175" spans="1:10" s="117" customFormat="1">
      <c r="A175" s="155"/>
      <c r="B175" s="156" t="s">
        <v>2136</v>
      </c>
      <c r="C175" s="19" t="s">
        <v>102</v>
      </c>
      <c r="D175" s="17" t="s">
        <v>2226</v>
      </c>
      <c r="E175" s="10" t="s">
        <v>2227</v>
      </c>
      <c r="F175" s="32">
        <v>29500</v>
      </c>
      <c r="G175" s="10" t="s">
        <v>2227</v>
      </c>
      <c r="H175" s="32">
        <v>29500</v>
      </c>
      <c r="I175" s="90">
        <f>+F175-H175</f>
        <v>0</v>
      </c>
      <c r="J175" s="118" t="s">
        <v>1572</v>
      </c>
    </row>
    <row r="176" spans="1:10" s="117" customFormat="1">
      <c r="A176" s="155"/>
      <c r="B176" s="156"/>
      <c r="C176" s="19"/>
      <c r="D176" s="17"/>
      <c r="E176" s="10"/>
      <c r="F176" s="32"/>
      <c r="G176" s="10"/>
      <c r="H176" s="32"/>
      <c r="I176" s="90"/>
      <c r="J176" s="118"/>
    </row>
    <row r="177" spans="1:10" s="14" customFormat="1">
      <c r="A177" s="155"/>
      <c r="B177" s="156" t="s">
        <v>2137</v>
      </c>
      <c r="C177" s="19" t="s">
        <v>102</v>
      </c>
      <c r="D177" s="17" t="s">
        <v>1489</v>
      </c>
      <c r="E177" s="10">
        <v>44207</v>
      </c>
      <c r="F177" s="32">
        <v>23600</v>
      </c>
      <c r="G177" s="10">
        <v>44207</v>
      </c>
      <c r="H177" s="32">
        <v>23600</v>
      </c>
      <c r="I177" s="90">
        <f>+F177-H177</f>
        <v>0</v>
      </c>
      <c r="J177" s="118" t="s">
        <v>1572</v>
      </c>
    </row>
    <row r="178" spans="1:10" s="14" customFormat="1">
      <c r="A178" s="155"/>
      <c r="B178" s="156"/>
      <c r="C178" s="19"/>
      <c r="D178" s="17"/>
      <c r="E178" s="10"/>
      <c r="F178" s="32"/>
      <c r="G178" s="10"/>
      <c r="H178" s="32"/>
      <c r="I178" s="90"/>
      <c r="J178" s="118"/>
    </row>
    <row r="179" spans="1:10" s="117" customFormat="1">
      <c r="A179" s="155"/>
      <c r="B179" s="156" t="s">
        <v>2079</v>
      </c>
      <c r="C179" s="19" t="s">
        <v>102</v>
      </c>
      <c r="D179" s="17" t="s">
        <v>881</v>
      </c>
      <c r="E179" s="10">
        <v>44236</v>
      </c>
      <c r="F179" s="32">
        <v>29500</v>
      </c>
      <c r="G179" s="10">
        <v>44236</v>
      </c>
      <c r="H179" s="32">
        <v>29500</v>
      </c>
      <c r="I179" s="90">
        <f>+F179-H179</f>
        <v>0</v>
      </c>
      <c r="J179" s="118" t="s">
        <v>1572</v>
      </c>
    </row>
    <row r="180" spans="1:10" s="117" customFormat="1">
      <c r="A180" s="155"/>
      <c r="B180" s="156"/>
      <c r="C180" s="19"/>
      <c r="D180" s="17"/>
      <c r="E180" s="10"/>
      <c r="F180" s="32"/>
      <c r="G180" s="10"/>
      <c r="H180" s="32"/>
      <c r="I180" s="90"/>
      <c r="J180" s="118"/>
    </row>
    <row r="181" spans="1:10" s="117" customFormat="1">
      <c r="A181" s="155"/>
      <c r="B181" s="156" t="s">
        <v>1324</v>
      </c>
      <c r="C181" s="19" t="s">
        <v>102</v>
      </c>
      <c r="D181" s="17" t="s">
        <v>2228</v>
      </c>
      <c r="E181" s="10">
        <v>44205</v>
      </c>
      <c r="F181" s="32">
        <v>29500</v>
      </c>
      <c r="G181" s="10">
        <v>44205</v>
      </c>
      <c r="H181" s="32">
        <v>29500</v>
      </c>
      <c r="I181" s="90">
        <f>+F181-H181</f>
        <v>0</v>
      </c>
      <c r="J181" s="118" t="s">
        <v>1572</v>
      </c>
    </row>
    <row r="182" spans="1:10" s="117" customFormat="1">
      <c r="A182" s="155"/>
      <c r="B182" s="156" t="s">
        <v>1324</v>
      </c>
      <c r="C182" s="19" t="s">
        <v>102</v>
      </c>
      <c r="D182" s="17" t="s">
        <v>2229</v>
      </c>
      <c r="E182" s="10">
        <v>44205</v>
      </c>
      <c r="F182" s="32">
        <v>29500</v>
      </c>
      <c r="G182" s="10">
        <v>44205</v>
      </c>
      <c r="H182" s="32">
        <v>29500</v>
      </c>
      <c r="I182" s="90">
        <f>+F182-H182</f>
        <v>0</v>
      </c>
      <c r="J182" s="118" t="s">
        <v>1572</v>
      </c>
    </row>
    <row r="183" spans="1:10" s="117" customFormat="1">
      <c r="A183" s="155"/>
      <c r="B183" s="156" t="s">
        <v>1324</v>
      </c>
      <c r="C183" s="19" t="s">
        <v>102</v>
      </c>
      <c r="D183" s="17" t="s">
        <v>1477</v>
      </c>
      <c r="E183" s="10">
        <v>44205</v>
      </c>
      <c r="F183" s="32">
        <v>29500</v>
      </c>
      <c r="G183" s="10">
        <v>44205</v>
      </c>
      <c r="H183" s="32">
        <v>29500</v>
      </c>
      <c r="I183" s="90">
        <f>+F183-H183</f>
        <v>0</v>
      </c>
      <c r="J183" s="118" t="s">
        <v>1572</v>
      </c>
    </row>
    <row r="184" spans="1:10" s="117" customFormat="1">
      <c r="A184" s="155"/>
      <c r="B184" s="156" t="s">
        <v>1324</v>
      </c>
      <c r="C184" s="19" t="s">
        <v>102</v>
      </c>
      <c r="D184" s="17" t="s">
        <v>2230</v>
      </c>
      <c r="E184" s="10">
        <v>44205</v>
      </c>
      <c r="F184" s="32">
        <v>29500</v>
      </c>
      <c r="G184" s="10">
        <v>44205</v>
      </c>
      <c r="H184" s="32">
        <v>29500</v>
      </c>
      <c r="I184" s="90">
        <f>+F184-H184</f>
        <v>0</v>
      </c>
      <c r="J184" s="118" t="s">
        <v>1572</v>
      </c>
    </row>
    <row r="185" spans="1:10" s="117" customFormat="1">
      <c r="A185" s="155"/>
      <c r="B185" s="156"/>
      <c r="C185" s="19"/>
      <c r="D185" s="17"/>
      <c r="E185" s="10"/>
      <c r="F185" s="32"/>
      <c r="G185" s="10"/>
      <c r="H185" s="32"/>
      <c r="I185" s="90"/>
      <c r="J185" s="118"/>
    </row>
    <row r="186" spans="1:10" s="14" customFormat="1">
      <c r="A186" s="155"/>
      <c r="B186" s="156" t="s">
        <v>1146</v>
      </c>
      <c r="C186" s="19" t="s">
        <v>102</v>
      </c>
      <c r="D186" s="17" t="s">
        <v>2231</v>
      </c>
      <c r="E186" s="10" t="s">
        <v>2208</v>
      </c>
      <c r="F186" s="32">
        <v>23600</v>
      </c>
      <c r="G186" s="10" t="s">
        <v>2208</v>
      </c>
      <c r="H186" s="32">
        <v>23600</v>
      </c>
      <c r="I186" s="90">
        <f>+F186-H186</f>
        <v>0</v>
      </c>
      <c r="J186" s="118" t="s">
        <v>1572</v>
      </c>
    </row>
    <row r="187" spans="1:10" s="14" customFormat="1">
      <c r="A187" s="155"/>
      <c r="B187" s="156"/>
      <c r="C187" s="19"/>
      <c r="D187" s="17"/>
      <c r="E187" s="10"/>
      <c r="F187" s="32"/>
      <c r="G187" s="10"/>
      <c r="H187" s="32"/>
      <c r="I187" s="90"/>
      <c r="J187" s="118"/>
    </row>
    <row r="188" spans="1:10" s="117" customFormat="1">
      <c r="A188" s="155"/>
      <c r="B188" s="156" t="s">
        <v>2054</v>
      </c>
      <c r="C188" s="19" t="s">
        <v>2232</v>
      </c>
      <c r="D188" s="17"/>
      <c r="E188" s="10"/>
      <c r="F188" s="32"/>
      <c r="G188" s="10"/>
      <c r="H188" s="32"/>
      <c r="I188" s="90">
        <f>+F188-H188</f>
        <v>0</v>
      </c>
      <c r="J188" s="118" t="s">
        <v>1572</v>
      </c>
    </row>
    <row r="189" spans="1:10" s="117" customFormat="1">
      <c r="A189" s="155"/>
      <c r="B189" s="156"/>
      <c r="C189" s="19"/>
      <c r="D189" s="17"/>
      <c r="E189" s="10"/>
      <c r="F189" s="32"/>
      <c r="G189" s="10"/>
      <c r="H189" s="32"/>
      <c r="I189" s="90"/>
      <c r="J189" s="118"/>
    </row>
    <row r="190" spans="1:10" s="117" customFormat="1">
      <c r="A190" s="155"/>
      <c r="B190" s="156" t="s">
        <v>2136</v>
      </c>
      <c r="C190" s="19" t="s">
        <v>102</v>
      </c>
      <c r="D190" s="17" t="s">
        <v>2233</v>
      </c>
      <c r="E190" s="10" t="s">
        <v>2227</v>
      </c>
      <c r="F190" s="32">
        <v>29500</v>
      </c>
      <c r="G190" s="10" t="s">
        <v>2227</v>
      </c>
      <c r="H190" s="32">
        <v>29500</v>
      </c>
      <c r="I190" s="90">
        <f>+F190-H190</f>
        <v>0</v>
      </c>
      <c r="J190" s="118" t="s">
        <v>1572</v>
      </c>
    </row>
    <row r="191" spans="1:10" s="117" customFormat="1">
      <c r="A191" s="155"/>
      <c r="B191" s="156" t="s">
        <v>2136</v>
      </c>
      <c r="C191" s="19" t="s">
        <v>102</v>
      </c>
      <c r="D191" s="17" t="s">
        <v>2234</v>
      </c>
      <c r="E191" s="10" t="s">
        <v>2227</v>
      </c>
      <c r="F191" s="32">
        <v>29500</v>
      </c>
      <c r="G191" s="10" t="s">
        <v>2227</v>
      </c>
      <c r="H191" s="32">
        <v>29500</v>
      </c>
      <c r="I191" s="90">
        <f>+F191-H191</f>
        <v>0</v>
      </c>
      <c r="J191" s="118" t="s">
        <v>1572</v>
      </c>
    </row>
    <row r="192" spans="1:10" s="117" customFormat="1">
      <c r="A192" s="155"/>
      <c r="B192" s="156" t="s">
        <v>2136</v>
      </c>
      <c r="C192" s="19" t="s">
        <v>102</v>
      </c>
      <c r="D192" s="17" t="s">
        <v>2235</v>
      </c>
      <c r="E192" s="10" t="s">
        <v>2227</v>
      </c>
      <c r="F192" s="32">
        <v>29500</v>
      </c>
      <c r="G192" s="10" t="s">
        <v>2227</v>
      </c>
      <c r="H192" s="32">
        <v>29500</v>
      </c>
      <c r="I192" s="90">
        <f>+F192-H192</f>
        <v>0</v>
      </c>
      <c r="J192" s="118" t="s">
        <v>1572</v>
      </c>
    </row>
    <row r="193" spans="1:10" s="117" customFormat="1">
      <c r="A193" s="155"/>
      <c r="B193" s="156" t="s">
        <v>2136</v>
      </c>
      <c r="C193" s="19" t="s">
        <v>102</v>
      </c>
      <c r="D193" s="17" t="s">
        <v>1605</v>
      </c>
      <c r="E193" s="10" t="s">
        <v>2227</v>
      </c>
      <c r="F193" s="32">
        <v>29500</v>
      </c>
      <c r="G193" s="10" t="s">
        <v>2227</v>
      </c>
      <c r="H193" s="32">
        <v>29500</v>
      </c>
      <c r="I193" s="90">
        <f>+F193-H193</f>
        <v>0</v>
      </c>
      <c r="J193" s="118" t="s">
        <v>1572</v>
      </c>
    </row>
    <row r="194" spans="1:10" s="117" customFormat="1">
      <c r="A194" s="155"/>
      <c r="B194" s="156" t="s">
        <v>2136</v>
      </c>
      <c r="C194" s="19" t="s">
        <v>102</v>
      </c>
      <c r="D194" s="17" t="s">
        <v>2236</v>
      </c>
      <c r="E194" s="10">
        <v>44207</v>
      </c>
      <c r="F194" s="32">
        <v>29500</v>
      </c>
      <c r="G194" s="10">
        <v>44207</v>
      </c>
      <c r="H194" s="32">
        <v>29500</v>
      </c>
      <c r="I194" s="90">
        <f>+F194-H194</f>
        <v>0</v>
      </c>
      <c r="J194" s="118" t="s">
        <v>1572</v>
      </c>
    </row>
    <row r="195" spans="1:10" s="117" customFormat="1">
      <c r="A195" s="155"/>
      <c r="B195" s="156"/>
      <c r="C195" s="19"/>
      <c r="D195" s="17"/>
      <c r="E195" s="10"/>
      <c r="F195" s="32"/>
      <c r="G195" s="10"/>
      <c r="H195" s="32"/>
      <c r="I195" s="90"/>
      <c r="J195" s="118"/>
    </row>
    <row r="196" spans="1:10" s="117" customFormat="1">
      <c r="A196" s="155"/>
      <c r="B196" s="156" t="s">
        <v>1347</v>
      </c>
      <c r="C196" s="19" t="s">
        <v>120</v>
      </c>
      <c r="D196" s="17" t="s">
        <v>2237</v>
      </c>
      <c r="E196" s="10" t="s">
        <v>2172</v>
      </c>
      <c r="F196" s="32">
        <v>130885.6</v>
      </c>
      <c r="G196" s="10" t="s">
        <v>2172</v>
      </c>
      <c r="H196" s="32">
        <v>130885.6</v>
      </c>
      <c r="I196" s="90">
        <f>+F196-H196</f>
        <v>0</v>
      </c>
      <c r="J196" s="118" t="s">
        <v>1572</v>
      </c>
    </row>
    <row r="197" spans="1:10" s="117" customFormat="1">
      <c r="A197" s="155"/>
      <c r="B197" s="156"/>
      <c r="C197" s="19"/>
      <c r="D197" s="17"/>
      <c r="E197" s="10"/>
      <c r="F197" s="32"/>
      <c r="G197" s="10"/>
      <c r="H197" s="32"/>
      <c r="I197" s="90"/>
      <c r="J197" s="118"/>
    </row>
    <row r="198" spans="1:10" s="117" customFormat="1">
      <c r="A198" s="155"/>
      <c r="B198" s="156" t="s">
        <v>1122</v>
      </c>
      <c r="C198" s="19" t="s">
        <v>1580</v>
      </c>
      <c r="D198" s="17" t="s">
        <v>2238</v>
      </c>
      <c r="E198" s="10">
        <v>44207</v>
      </c>
      <c r="F198" s="32">
        <v>586572.06999999995</v>
      </c>
      <c r="G198" s="10">
        <v>44207</v>
      </c>
      <c r="H198" s="32">
        <v>586572.06999999995</v>
      </c>
      <c r="I198" s="90">
        <f>+F198-H198</f>
        <v>0</v>
      </c>
      <c r="J198" s="118" t="s">
        <v>1572</v>
      </c>
    </row>
    <row r="199" spans="1:10" s="117" customFormat="1">
      <c r="A199" s="155"/>
      <c r="B199" s="156"/>
      <c r="C199" s="19"/>
      <c r="D199" s="17"/>
      <c r="E199" s="10"/>
      <c r="F199" s="32"/>
      <c r="G199" s="10"/>
      <c r="H199" s="32"/>
      <c r="I199" s="90"/>
      <c r="J199" s="118"/>
    </row>
    <row r="200" spans="1:10" s="117" customFormat="1">
      <c r="A200" s="155"/>
      <c r="B200" s="156" t="s">
        <v>2049</v>
      </c>
      <c r="C200" s="19" t="s">
        <v>1585</v>
      </c>
      <c r="D200" s="17" t="s">
        <v>2239</v>
      </c>
      <c r="E200" s="10">
        <v>44296</v>
      </c>
      <c r="F200" s="32">
        <v>877821.09</v>
      </c>
      <c r="G200" s="10">
        <v>44296</v>
      </c>
      <c r="H200" s="32">
        <v>877821.09</v>
      </c>
      <c r="I200" s="90">
        <f>+F200-H200</f>
        <v>0</v>
      </c>
      <c r="J200" s="118" t="s">
        <v>1572</v>
      </c>
    </row>
    <row r="201" spans="1:10" s="117" customFormat="1">
      <c r="A201" s="155"/>
      <c r="B201" s="156"/>
      <c r="C201" s="19"/>
      <c r="D201" s="17"/>
      <c r="E201" s="10"/>
      <c r="F201" s="32"/>
      <c r="G201" s="10"/>
      <c r="H201" s="32"/>
      <c r="I201" s="90"/>
      <c r="J201" s="118"/>
    </row>
    <row r="202" spans="1:10" s="117" customFormat="1">
      <c r="A202" s="155"/>
      <c r="B202" s="156" t="s">
        <v>2050</v>
      </c>
      <c r="C202" s="19" t="s">
        <v>1585</v>
      </c>
      <c r="D202" s="17" t="s">
        <v>2240</v>
      </c>
      <c r="E202" s="10">
        <v>44418</v>
      </c>
      <c r="F202" s="32">
        <v>934560</v>
      </c>
      <c r="G202" s="10">
        <v>44418</v>
      </c>
      <c r="H202" s="32">
        <v>934560</v>
      </c>
      <c r="I202" s="90">
        <f>+F202-H202</f>
        <v>0</v>
      </c>
      <c r="J202" s="118" t="s">
        <v>1572</v>
      </c>
    </row>
    <row r="203" spans="1:10" s="117" customFormat="1">
      <c r="A203" s="155"/>
      <c r="B203" s="156"/>
      <c r="C203" s="19"/>
      <c r="D203" s="17"/>
      <c r="E203" s="10"/>
      <c r="F203" s="32"/>
      <c r="G203" s="10"/>
      <c r="H203" s="32"/>
      <c r="I203" s="90"/>
      <c r="J203" s="118"/>
    </row>
    <row r="204" spans="1:10" s="117" customFormat="1">
      <c r="A204" s="155"/>
      <c r="B204" s="156" t="s">
        <v>1842</v>
      </c>
      <c r="C204" s="19" t="s">
        <v>1391</v>
      </c>
      <c r="D204" s="17" t="s">
        <v>2241</v>
      </c>
      <c r="E204" s="10">
        <v>44207</v>
      </c>
      <c r="F204" s="32">
        <v>1265042.8700000001</v>
      </c>
      <c r="G204" s="10">
        <v>44207</v>
      </c>
      <c r="H204" s="32">
        <v>1265042.8700000001</v>
      </c>
      <c r="I204" s="90">
        <f>+F204-H204</f>
        <v>0</v>
      </c>
      <c r="J204" s="118" t="s">
        <v>1572</v>
      </c>
    </row>
    <row r="205" spans="1:10" s="117" customFormat="1">
      <c r="A205" s="155"/>
      <c r="B205" s="156"/>
      <c r="C205" s="19"/>
      <c r="D205" s="17"/>
      <c r="E205" s="10"/>
      <c r="F205" s="32"/>
      <c r="G205" s="10"/>
      <c r="H205" s="385"/>
      <c r="I205" s="90"/>
      <c r="J205" s="118"/>
    </row>
    <row r="206" spans="1:10" s="117" customFormat="1">
      <c r="A206" s="155"/>
      <c r="B206" s="156" t="s">
        <v>1103</v>
      </c>
      <c r="C206" s="19" t="s">
        <v>2242</v>
      </c>
      <c r="D206" s="17" t="s">
        <v>2243</v>
      </c>
      <c r="E206" s="10">
        <v>44238</v>
      </c>
      <c r="F206" s="32">
        <v>1680000</v>
      </c>
      <c r="G206" s="10">
        <v>44238</v>
      </c>
      <c r="H206" s="32">
        <v>1680000</v>
      </c>
      <c r="I206" s="90">
        <f>+F206-H206</f>
        <v>0</v>
      </c>
      <c r="J206" s="118" t="s">
        <v>1572</v>
      </c>
    </row>
    <row r="207" spans="1:10" s="117" customFormat="1">
      <c r="A207" s="155"/>
      <c r="B207" s="156"/>
      <c r="C207" s="19"/>
      <c r="D207" s="17"/>
      <c r="E207" s="10"/>
      <c r="F207" s="32"/>
      <c r="G207" s="10"/>
      <c r="I207" s="90"/>
      <c r="J207" s="118"/>
    </row>
    <row r="208" spans="1:10" s="117" customFormat="1">
      <c r="A208" s="155"/>
      <c r="B208" s="156" t="s">
        <v>1347</v>
      </c>
      <c r="C208" s="19" t="s">
        <v>120</v>
      </c>
      <c r="D208" s="17" t="s">
        <v>2198</v>
      </c>
      <c r="E208" s="10">
        <v>44206</v>
      </c>
      <c r="F208" s="32">
        <v>1786842.81</v>
      </c>
      <c r="G208" s="10">
        <v>44206</v>
      </c>
      <c r="H208" s="32">
        <v>1786842.81</v>
      </c>
      <c r="I208" s="90">
        <f>+F208-H208</f>
        <v>0</v>
      </c>
      <c r="J208" s="118" t="s">
        <v>1572</v>
      </c>
    </row>
    <row r="209" spans="1:10" s="117" customFormat="1">
      <c r="A209" s="155"/>
      <c r="B209" s="156"/>
      <c r="C209" s="19"/>
      <c r="D209" s="17"/>
      <c r="E209" s="10"/>
      <c r="F209" s="32"/>
      <c r="G209" s="10"/>
      <c r="H209" s="32"/>
      <c r="I209" s="90"/>
      <c r="J209" s="118"/>
    </row>
    <row r="210" spans="1:10" s="14" customFormat="1">
      <c r="A210" s="155"/>
      <c r="B210" s="156" t="s">
        <v>1232</v>
      </c>
      <c r="C210" s="19" t="s">
        <v>570</v>
      </c>
      <c r="D210" s="17" t="s">
        <v>2239</v>
      </c>
      <c r="E210" s="10">
        <v>44236</v>
      </c>
      <c r="F210" s="32">
        <v>4989730</v>
      </c>
      <c r="G210" s="10">
        <v>44236</v>
      </c>
      <c r="H210" s="32">
        <v>4989730</v>
      </c>
      <c r="I210" s="90">
        <f>+F210-H210</f>
        <v>0</v>
      </c>
      <c r="J210" s="118" t="s">
        <v>1572</v>
      </c>
    </row>
    <row r="211" spans="1:10" s="14" customFormat="1">
      <c r="A211" s="155"/>
      <c r="B211" s="156"/>
      <c r="C211" s="19"/>
      <c r="D211" s="17"/>
      <c r="E211" s="10"/>
      <c r="F211" s="32"/>
      <c r="G211" s="10"/>
      <c r="H211" s="32"/>
      <c r="I211" s="90"/>
      <c r="J211" s="118"/>
    </row>
    <row r="212" spans="1:10" s="117" customFormat="1">
      <c r="A212" s="155"/>
      <c r="B212" s="156" t="s">
        <v>1114</v>
      </c>
      <c r="C212" s="19" t="s">
        <v>142</v>
      </c>
      <c r="D212" s="17" t="s">
        <v>2244</v>
      </c>
      <c r="E212" s="10" t="s">
        <v>2156</v>
      </c>
      <c r="F212" s="32">
        <v>39648</v>
      </c>
      <c r="G212" s="10" t="s">
        <v>2156</v>
      </c>
      <c r="H212" s="32">
        <v>39648</v>
      </c>
      <c r="I212" s="90">
        <f>+F212-H212</f>
        <v>0</v>
      </c>
      <c r="J212" s="118" t="s">
        <v>1572</v>
      </c>
    </row>
    <row r="213" spans="1:10" s="117" customFormat="1">
      <c r="A213" s="155"/>
      <c r="B213" s="156"/>
      <c r="C213" s="19"/>
      <c r="D213" s="17"/>
      <c r="E213" s="10"/>
      <c r="F213" s="32"/>
      <c r="G213" s="10"/>
      <c r="H213" s="32"/>
      <c r="I213" s="90"/>
      <c r="J213" s="118"/>
    </row>
    <row r="214" spans="1:10" s="14" customFormat="1">
      <c r="A214" s="155"/>
      <c r="B214" s="156" t="s">
        <v>1842</v>
      </c>
      <c r="C214" s="19" t="s">
        <v>1391</v>
      </c>
      <c r="D214" s="17" t="s">
        <v>2245</v>
      </c>
      <c r="E214" s="10">
        <v>44207</v>
      </c>
      <c r="F214" s="32">
        <v>221416</v>
      </c>
      <c r="G214" s="10">
        <v>44207</v>
      </c>
      <c r="H214" s="32">
        <v>221416</v>
      </c>
      <c r="I214" s="90">
        <f>+F214-H214</f>
        <v>0</v>
      </c>
      <c r="J214" s="118" t="s">
        <v>1572</v>
      </c>
    </row>
    <row r="215" spans="1:10" s="14" customFormat="1">
      <c r="A215" s="155"/>
      <c r="B215" s="156"/>
      <c r="C215" s="19"/>
      <c r="D215" s="17"/>
      <c r="E215" s="10"/>
      <c r="F215" s="32"/>
      <c r="G215" s="10"/>
      <c r="H215" s="32"/>
      <c r="I215" s="90"/>
      <c r="J215" s="118"/>
    </row>
    <row r="216" spans="1:10" s="117" customFormat="1">
      <c r="A216" s="155"/>
      <c r="B216" s="156" t="s">
        <v>1096</v>
      </c>
      <c r="C216" s="19" t="s">
        <v>2221</v>
      </c>
      <c r="D216" s="17" t="s">
        <v>2246</v>
      </c>
      <c r="E216" s="10">
        <v>44207</v>
      </c>
      <c r="F216" s="32">
        <v>276643</v>
      </c>
      <c r="G216" s="10">
        <v>44207</v>
      </c>
      <c r="H216" s="32">
        <v>276643</v>
      </c>
      <c r="I216" s="90">
        <f>+F216-H216</f>
        <v>0</v>
      </c>
      <c r="J216" s="118" t="s">
        <v>1572</v>
      </c>
    </row>
    <row r="217" spans="1:10" s="14" customFormat="1">
      <c r="A217" s="155"/>
      <c r="B217" s="156" t="s">
        <v>1096</v>
      </c>
      <c r="C217" s="19" t="s">
        <v>2221</v>
      </c>
      <c r="D217" s="17" t="s">
        <v>2247</v>
      </c>
      <c r="E217" s="10">
        <v>44207</v>
      </c>
      <c r="F217" s="32">
        <v>767600</v>
      </c>
      <c r="G217" s="10">
        <v>44207</v>
      </c>
      <c r="H217" s="32">
        <v>767600</v>
      </c>
      <c r="I217" s="90">
        <f>+F217-H217</f>
        <v>0</v>
      </c>
      <c r="J217" s="118" t="s">
        <v>1572</v>
      </c>
    </row>
    <row r="218" spans="1:10" s="14" customFormat="1">
      <c r="A218" s="155"/>
      <c r="B218" s="156"/>
      <c r="C218" s="19"/>
      <c r="D218" s="17"/>
      <c r="E218" s="10"/>
      <c r="F218" s="32"/>
      <c r="G218" s="10"/>
      <c r="H218" s="32"/>
      <c r="I218" s="90"/>
      <c r="J218" s="118"/>
    </row>
    <row r="219" spans="1:10" s="117" customFormat="1">
      <c r="A219" s="155"/>
      <c r="B219" s="156" t="s">
        <v>1184</v>
      </c>
      <c r="C219" s="19" t="s">
        <v>2242</v>
      </c>
      <c r="D219" s="17" t="s">
        <v>2248</v>
      </c>
      <c r="E219" s="10">
        <v>44266</v>
      </c>
      <c r="F219" s="32">
        <v>1042459.76</v>
      </c>
      <c r="G219" s="10">
        <v>44266</v>
      </c>
      <c r="H219" s="32">
        <v>1042459.76</v>
      </c>
      <c r="I219" s="90">
        <f>+F219-H219</f>
        <v>0</v>
      </c>
      <c r="J219" s="118" t="s">
        <v>1572</v>
      </c>
    </row>
    <row r="220" spans="1:10" s="117" customFormat="1">
      <c r="A220" s="155"/>
      <c r="B220" s="156"/>
      <c r="C220" s="19"/>
      <c r="D220" s="17"/>
      <c r="E220" s="10"/>
      <c r="F220" s="32"/>
      <c r="G220" s="10"/>
      <c r="H220" s="32"/>
      <c r="I220" s="90"/>
      <c r="J220" s="118"/>
    </row>
    <row r="221" spans="1:10" s="14" customFormat="1">
      <c r="A221" s="155"/>
      <c r="B221" s="156" t="s">
        <v>1855</v>
      </c>
      <c r="C221" s="19" t="s">
        <v>102</v>
      </c>
      <c r="D221" s="17" t="s">
        <v>1479</v>
      </c>
      <c r="E221" s="10">
        <v>44205</v>
      </c>
      <c r="F221" s="32">
        <v>23600</v>
      </c>
      <c r="G221" s="10">
        <v>44205</v>
      </c>
      <c r="H221" s="32">
        <v>23600</v>
      </c>
      <c r="I221" s="90">
        <f>+F221-H221</f>
        <v>0</v>
      </c>
      <c r="J221" s="118" t="s">
        <v>1572</v>
      </c>
    </row>
    <row r="222" spans="1:10" s="14" customFormat="1">
      <c r="A222" s="155"/>
      <c r="B222" s="156"/>
      <c r="C222" s="19"/>
      <c r="D222" s="17"/>
      <c r="E222" s="10"/>
      <c r="F222" s="32"/>
      <c r="G222" s="10"/>
      <c r="H222" s="32"/>
      <c r="I222" s="90"/>
      <c r="J222" s="118"/>
    </row>
    <row r="223" spans="1:10" s="117" customFormat="1">
      <c r="A223" s="155"/>
      <c r="B223" s="156" t="s">
        <v>2134</v>
      </c>
      <c r="C223" s="19" t="s">
        <v>102</v>
      </c>
      <c r="D223" s="17" t="s">
        <v>633</v>
      </c>
      <c r="E223" s="10">
        <v>44356</v>
      </c>
      <c r="F223" s="32">
        <v>23600</v>
      </c>
      <c r="G223" s="10">
        <v>44356</v>
      </c>
      <c r="H223" s="32">
        <v>23600</v>
      </c>
      <c r="I223" s="90">
        <f>+F223-H223</f>
        <v>0</v>
      </c>
      <c r="J223" s="118" t="s">
        <v>1572</v>
      </c>
    </row>
    <row r="224" spans="1:10" s="117" customFormat="1">
      <c r="A224" s="155"/>
      <c r="B224" s="156"/>
      <c r="C224" s="19"/>
      <c r="D224" s="17"/>
      <c r="E224" s="10"/>
      <c r="F224" s="32"/>
      <c r="G224" s="10"/>
      <c r="H224" s="32"/>
      <c r="I224" s="90"/>
      <c r="J224" s="118"/>
    </row>
    <row r="225" spans="1:10" s="117" customFormat="1">
      <c r="A225" s="155"/>
      <c r="B225" s="156" t="s">
        <v>2131</v>
      </c>
      <c r="C225" s="19" t="s">
        <v>102</v>
      </c>
      <c r="D225" s="17" t="s">
        <v>881</v>
      </c>
      <c r="E225" s="10">
        <v>44205</v>
      </c>
      <c r="F225" s="32">
        <v>35400</v>
      </c>
      <c r="G225" s="10">
        <v>44205</v>
      </c>
      <c r="H225" s="32">
        <v>35400</v>
      </c>
      <c r="I225" s="90">
        <f>+F225-H225</f>
        <v>0</v>
      </c>
      <c r="J225" s="118" t="s">
        <v>1572</v>
      </c>
    </row>
    <row r="226" spans="1:10" s="117" customFormat="1">
      <c r="A226" s="155"/>
      <c r="B226" s="156"/>
      <c r="C226" s="19"/>
      <c r="D226" s="17"/>
      <c r="E226" s="10"/>
      <c r="F226" s="32"/>
      <c r="G226" s="10"/>
      <c r="H226" s="32"/>
      <c r="I226" s="90"/>
      <c r="J226" s="118"/>
    </row>
    <row r="227" spans="1:10" s="14" customFormat="1">
      <c r="A227" s="155"/>
      <c r="B227" s="156" t="s">
        <v>1150</v>
      </c>
      <c r="C227" s="19" t="s">
        <v>102</v>
      </c>
      <c r="D227" s="17" t="s">
        <v>2249</v>
      </c>
      <c r="E227" s="10" t="s">
        <v>2250</v>
      </c>
      <c r="F227" s="32">
        <v>35400</v>
      </c>
      <c r="G227" s="10" t="s">
        <v>2250</v>
      </c>
      <c r="H227" s="32">
        <v>35400</v>
      </c>
      <c r="I227" s="90">
        <f>+F227-H227</f>
        <v>0</v>
      </c>
      <c r="J227" s="118" t="s">
        <v>1572</v>
      </c>
    </row>
    <row r="228" spans="1:10" s="14" customFormat="1">
      <c r="A228" s="155"/>
      <c r="B228" s="156"/>
      <c r="C228" s="19"/>
      <c r="D228" s="17"/>
      <c r="E228" s="10"/>
      <c r="F228" s="32"/>
      <c r="G228" s="10"/>
      <c r="H228" s="32"/>
      <c r="I228" s="90"/>
      <c r="J228" s="118"/>
    </row>
    <row r="229" spans="1:10" s="117" customFormat="1">
      <c r="A229" s="155"/>
      <c r="B229" s="156" t="s">
        <v>1149</v>
      </c>
      <c r="C229" s="19" t="s">
        <v>102</v>
      </c>
      <c r="D229" s="17" t="s">
        <v>2251</v>
      </c>
      <c r="E229" s="10">
        <v>44296</v>
      </c>
      <c r="F229" s="32">
        <v>35400</v>
      </c>
      <c r="G229" s="10">
        <v>44296</v>
      </c>
      <c r="H229" s="32">
        <v>35400</v>
      </c>
      <c r="I229" s="90">
        <f>+F229-H229</f>
        <v>0</v>
      </c>
      <c r="J229" s="118" t="s">
        <v>1572</v>
      </c>
    </row>
    <row r="230" spans="1:10" s="117" customFormat="1">
      <c r="A230" s="155"/>
      <c r="B230" s="156"/>
      <c r="C230" s="19"/>
      <c r="D230" s="17"/>
      <c r="E230" s="10"/>
      <c r="F230" s="32"/>
      <c r="G230" s="10"/>
      <c r="H230" s="32"/>
      <c r="I230" s="90"/>
      <c r="J230" s="118"/>
    </row>
    <row r="231" spans="1:10" s="14" customFormat="1">
      <c r="A231" s="155"/>
      <c r="B231" s="156" t="s">
        <v>1293</v>
      </c>
      <c r="C231" s="19" t="s">
        <v>102</v>
      </c>
      <c r="D231" s="17" t="s">
        <v>2252</v>
      </c>
      <c r="E231" s="10">
        <v>44205</v>
      </c>
      <c r="F231" s="32">
        <v>29500</v>
      </c>
      <c r="G231" s="10">
        <v>44205</v>
      </c>
      <c r="H231" s="32">
        <v>29500</v>
      </c>
      <c r="I231" s="90">
        <f>+F231-H231</f>
        <v>0</v>
      </c>
      <c r="J231" s="118" t="s">
        <v>1572</v>
      </c>
    </row>
    <row r="232" spans="1:10" s="14" customFormat="1">
      <c r="A232" s="155"/>
      <c r="B232" s="156" t="s">
        <v>1293</v>
      </c>
      <c r="C232" s="19" t="s">
        <v>102</v>
      </c>
      <c r="D232" s="17" t="s">
        <v>885</v>
      </c>
      <c r="E232" s="10">
        <v>44205</v>
      </c>
      <c r="F232" s="32">
        <v>29500</v>
      </c>
      <c r="G232" s="10">
        <v>44205</v>
      </c>
      <c r="H232" s="32">
        <v>29500</v>
      </c>
      <c r="I232" s="90">
        <f>+F232-H232</f>
        <v>0</v>
      </c>
      <c r="J232" s="118" t="s">
        <v>1572</v>
      </c>
    </row>
    <row r="233" spans="1:10" s="14" customFormat="1">
      <c r="A233" s="155"/>
      <c r="B233" s="156"/>
      <c r="C233" s="19"/>
      <c r="D233" s="17"/>
      <c r="E233" s="10"/>
      <c r="F233" s="32"/>
      <c r="G233" s="10"/>
      <c r="H233" s="157"/>
      <c r="I233" s="358"/>
      <c r="J233" s="359"/>
    </row>
    <row r="234" spans="1:10" s="117" customFormat="1">
      <c r="A234" s="155"/>
      <c r="B234" s="156" t="s">
        <v>1812</v>
      </c>
      <c r="C234" s="19" t="s">
        <v>1393</v>
      </c>
      <c r="D234" s="17" t="s">
        <v>2253</v>
      </c>
      <c r="E234" s="10" t="s">
        <v>2254</v>
      </c>
      <c r="F234" s="32">
        <v>318677.88</v>
      </c>
      <c r="G234" s="10" t="s">
        <v>2254</v>
      </c>
      <c r="H234" s="32">
        <v>318677.88</v>
      </c>
      <c r="I234" s="90">
        <f>+F234-H234</f>
        <v>0</v>
      </c>
      <c r="J234" s="118" t="s">
        <v>1572</v>
      </c>
    </row>
    <row r="235" spans="1:10" s="117" customFormat="1">
      <c r="A235" s="155"/>
      <c r="B235" s="156"/>
      <c r="C235" s="19"/>
      <c r="D235" s="17"/>
      <c r="E235" s="10"/>
      <c r="F235" s="32"/>
      <c r="G235" s="10"/>
      <c r="H235" s="32"/>
      <c r="I235" s="90"/>
      <c r="J235" s="118"/>
    </row>
    <row r="236" spans="1:10" s="14" customFormat="1">
      <c r="A236" s="155"/>
      <c r="B236" s="156" t="s">
        <v>1313</v>
      </c>
      <c r="C236" s="19" t="s">
        <v>1392</v>
      </c>
      <c r="D236" s="17" t="s">
        <v>2255</v>
      </c>
      <c r="E236" s="10">
        <v>44207</v>
      </c>
      <c r="F236" s="32">
        <v>295283</v>
      </c>
      <c r="G236" s="10">
        <v>44207</v>
      </c>
      <c r="H236" s="32">
        <v>295283</v>
      </c>
      <c r="I236" s="90">
        <f>+F236-H236</f>
        <v>0</v>
      </c>
      <c r="J236" s="118" t="s">
        <v>1572</v>
      </c>
    </row>
    <row r="237" spans="1:10" s="14" customFormat="1">
      <c r="A237" s="155"/>
      <c r="B237" s="156"/>
      <c r="C237" s="19"/>
      <c r="D237" s="17"/>
      <c r="E237" s="10"/>
      <c r="F237" s="32"/>
      <c r="G237" s="10"/>
      <c r="H237" s="32"/>
      <c r="I237" s="90"/>
      <c r="J237" s="118"/>
    </row>
    <row r="238" spans="1:10" s="117" customFormat="1">
      <c r="A238" s="155"/>
      <c r="B238" s="156" t="s">
        <v>1348</v>
      </c>
      <c r="C238" s="19" t="s">
        <v>570</v>
      </c>
      <c r="D238" s="17" t="s">
        <v>2224</v>
      </c>
      <c r="E238" s="10">
        <v>44207</v>
      </c>
      <c r="F238" s="32">
        <v>650000</v>
      </c>
      <c r="G238" s="10">
        <v>44207</v>
      </c>
      <c r="H238" s="32">
        <v>650000</v>
      </c>
      <c r="I238" s="90">
        <f>+F238-H238</f>
        <v>0</v>
      </c>
      <c r="J238" s="118" t="s">
        <v>1572</v>
      </c>
    </row>
    <row r="239" spans="1:10" s="117" customFormat="1">
      <c r="A239" s="155"/>
      <c r="B239" s="156" t="s">
        <v>1348</v>
      </c>
      <c r="C239" s="19" t="s">
        <v>570</v>
      </c>
      <c r="D239" s="17" t="s">
        <v>2256</v>
      </c>
      <c r="E239" s="10">
        <v>44207</v>
      </c>
      <c r="F239" s="32">
        <v>558415</v>
      </c>
      <c r="G239" s="10">
        <v>44207</v>
      </c>
      <c r="H239" s="32">
        <v>558415</v>
      </c>
      <c r="I239" s="90">
        <f>+F239-H239</f>
        <v>0</v>
      </c>
      <c r="J239" s="118" t="s">
        <v>1572</v>
      </c>
    </row>
    <row r="240" spans="1:10" s="117" customFormat="1">
      <c r="A240" s="155"/>
      <c r="B240" s="156"/>
      <c r="C240" s="19"/>
      <c r="D240" s="17"/>
      <c r="E240" s="10"/>
      <c r="F240" s="32"/>
      <c r="G240" s="10"/>
      <c r="H240" s="32"/>
      <c r="I240" s="90"/>
      <c r="J240" s="118"/>
    </row>
    <row r="241" spans="1:10" s="14" customFormat="1" ht="15.75" thickBot="1">
      <c r="A241" s="155"/>
      <c r="B241" s="156" t="s">
        <v>1766</v>
      </c>
      <c r="C241" s="19" t="s">
        <v>570</v>
      </c>
      <c r="D241" s="17" t="s">
        <v>888</v>
      </c>
      <c r="E241" s="10">
        <v>44357</v>
      </c>
      <c r="F241" s="64">
        <f>1445059.44+76055.76</f>
        <v>1521115.2</v>
      </c>
      <c r="G241" s="10">
        <v>44357</v>
      </c>
      <c r="H241" s="64">
        <f>1445059.44+76055.76</f>
        <v>1521115.2</v>
      </c>
      <c r="I241" s="386">
        <f>+F241-H241</f>
        <v>0</v>
      </c>
      <c r="J241" s="118" t="s">
        <v>1572</v>
      </c>
    </row>
    <row r="243" spans="1:10" ht="16.5" thickBot="1">
      <c r="B243" s="361" t="s">
        <v>472</v>
      </c>
      <c r="C243" s="57"/>
      <c r="D243" s="57"/>
      <c r="E243" s="203"/>
      <c r="F243" s="59">
        <f>SUM(F16:F241)</f>
        <v>50709633.825263165</v>
      </c>
      <c r="G243" s="33"/>
      <c r="H243" s="59">
        <f>SUM(H16:H241)</f>
        <v>50709633.825263165</v>
      </c>
      <c r="I243" s="59">
        <f>SUM(I16:I241)</f>
        <v>0</v>
      </c>
    </row>
    <row r="244" spans="1:10" s="117" customFormat="1" ht="16.5" thickTop="1">
      <c r="B244" s="361"/>
      <c r="C244" s="57"/>
      <c r="D244" s="57"/>
      <c r="E244" s="203"/>
      <c r="F244" s="229"/>
      <c r="G244" s="33"/>
      <c r="H244" s="229"/>
      <c r="I244" s="229"/>
    </row>
    <row r="245" spans="1:10" s="117" customFormat="1" ht="15.75">
      <c r="B245" s="361"/>
      <c r="C245" s="57"/>
      <c r="D245" s="57"/>
      <c r="E245" s="203"/>
      <c r="F245" s="229"/>
      <c r="G245" s="33"/>
      <c r="H245" s="229"/>
      <c r="I245" s="229"/>
    </row>
    <row r="246" spans="1:10" s="117" customFormat="1" ht="15.75">
      <c r="B246" s="361"/>
      <c r="C246" s="57"/>
      <c r="D246" s="57"/>
      <c r="E246" s="203"/>
      <c r="F246" s="229"/>
      <c r="G246" s="33"/>
      <c r="H246" s="229"/>
      <c r="I246" s="229"/>
    </row>
    <row r="248" spans="1:10">
      <c r="F248" s="63"/>
      <c r="G248" s="33"/>
    </row>
    <row r="249" spans="1:10">
      <c r="F249" s="85"/>
    </row>
    <row r="252" spans="1:10">
      <c r="B252" s="180" t="s">
        <v>740</v>
      </c>
      <c r="C252" s="391" t="s">
        <v>876</v>
      </c>
      <c r="D252" s="391"/>
      <c r="E252" s="391"/>
      <c r="F252" s="391"/>
      <c r="G252" s="388" t="s">
        <v>877</v>
      </c>
      <c r="H252" s="388"/>
      <c r="I252" s="388"/>
      <c r="J252" s="388"/>
    </row>
    <row r="253" spans="1:10">
      <c r="B253" s="120" t="s">
        <v>741</v>
      </c>
      <c r="C253" s="389" t="s">
        <v>742</v>
      </c>
      <c r="D253" s="389"/>
      <c r="E253" s="389"/>
      <c r="F253" s="389"/>
      <c r="G253" s="390" t="s">
        <v>743</v>
      </c>
      <c r="H253" s="390"/>
      <c r="I253" s="390"/>
      <c r="J253" s="390"/>
    </row>
    <row r="254" spans="1:10">
      <c r="B254" s="116"/>
      <c r="C254" s="116"/>
      <c r="D254" s="116"/>
      <c r="E254" s="204"/>
      <c r="F254" s="119"/>
      <c r="G254" s="119"/>
    </row>
  </sheetData>
  <mergeCells count="6">
    <mergeCell ref="B11:J11"/>
    <mergeCell ref="B12:J12"/>
    <mergeCell ref="G252:J252"/>
    <mergeCell ref="C253:F253"/>
    <mergeCell ref="G253:J253"/>
    <mergeCell ref="C252:F252"/>
  </mergeCells>
  <printOptions horizontalCentered="1"/>
  <pageMargins left="0.118110236220472" right="0.118110236220472" top="1" bottom="0.85" header="0.23" footer="0.47"/>
  <pageSetup scale="65" orientation="landscape" r:id="rId1"/>
  <headerFooter>
    <oddFooter>&amp;C&amp;P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64"/>
  <sheetViews>
    <sheetView topLeftCell="A428" workbookViewId="0">
      <selection activeCell="B24" sqref="B24:F438"/>
    </sheetView>
  </sheetViews>
  <sheetFormatPr baseColWidth="10" defaultRowHeight="15"/>
  <cols>
    <col min="1" max="1" width="11.42578125" style="14"/>
    <col min="2" max="2" width="11.42578125" style="124" customWidth="1"/>
    <col min="3" max="3" width="17.28515625" style="130" bestFit="1" customWidth="1"/>
    <col min="4" max="4" width="48.42578125" style="126" bestFit="1" customWidth="1"/>
    <col min="5" max="5" width="16.140625" style="127" bestFit="1" customWidth="1"/>
    <col min="6" max="6" width="16.140625" style="128" bestFit="1" customWidth="1"/>
    <col min="7" max="7" width="15.5703125" style="128" bestFit="1" customWidth="1"/>
    <col min="8" max="8" width="19.5703125" style="129" bestFit="1" customWidth="1"/>
    <col min="9" max="9" width="9.5703125" style="129" bestFit="1" customWidth="1"/>
    <col min="10" max="16384" width="11.42578125" style="14"/>
  </cols>
  <sheetData>
    <row r="1" spans="2:9">
      <c r="C1" s="125"/>
    </row>
    <row r="2" spans="2:9">
      <c r="C2" s="125"/>
    </row>
    <row r="3" spans="2:9">
      <c r="C3" s="125"/>
    </row>
    <row r="8" spans="2:9" ht="19.5">
      <c r="B8" s="395" t="s">
        <v>1053</v>
      </c>
      <c r="C8" s="395"/>
      <c r="D8" s="395"/>
      <c r="E8" s="395"/>
      <c r="F8" s="395"/>
      <c r="G8" s="395"/>
    </row>
    <row r="9" spans="2:9" ht="17.25">
      <c r="B9" s="396" t="s">
        <v>1054</v>
      </c>
      <c r="C9" s="396"/>
      <c r="D9" s="396"/>
      <c r="E9" s="396"/>
      <c r="F9" s="396"/>
      <c r="G9" s="396"/>
    </row>
    <row r="10" spans="2:9" ht="15.75">
      <c r="B10" s="397" t="s">
        <v>1055</v>
      </c>
      <c r="C10" s="397"/>
      <c r="D10" s="397"/>
      <c r="E10" s="397"/>
      <c r="F10" s="397"/>
      <c r="G10" s="397"/>
    </row>
    <row r="11" spans="2:9" ht="15.75" thickBot="1">
      <c r="B11" s="131"/>
      <c r="C11" s="132"/>
      <c r="D11" s="133"/>
      <c r="E11" s="134"/>
      <c r="F11" s="135"/>
      <c r="G11" s="135"/>
    </row>
    <row r="12" spans="2:9" s="136" customFormat="1" ht="17.25">
      <c r="B12" s="398" t="s">
        <v>1056</v>
      </c>
      <c r="C12" s="399"/>
      <c r="D12" s="399"/>
      <c r="E12" s="399"/>
      <c r="F12" s="399"/>
      <c r="G12" s="400"/>
      <c r="H12" s="137"/>
      <c r="I12" s="137"/>
    </row>
    <row r="13" spans="2:9" s="136" customFormat="1" ht="15.75">
      <c r="B13" s="138"/>
      <c r="C13" s="139"/>
      <c r="D13" s="140"/>
      <c r="E13" s="401" t="s">
        <v>1057</v>
      </c>
      <c r="F13" s="401"/>
      <c r="G13" s="141">
        <v>14969172.65</v>
      </c>
      <c r="H13" s="137"/>
      <c r="I13" s="137"/>
    </row>
    <row r="14" spans="2:9">
      <c r="B14" s="142"/>
      <c r="C14" s="143"/>
      <c r="D14" s="144"/>
      <c r="E14" s="145"/>
      <c r="F14" s="146"/>
      <c r="G14" s="147"/>
    </row>
    <row r="15" spans="2:9" s="136" customFormat="1" ht="15.75">
      <c r="B15" s="148" t="s">
        <v>1058</v>
      </c>
      <c r="C15" s="149" t="s">
        <v>1059</v>
      </c>
      <c r="D15" s="150" t="s">
        <v>1060</v>
      </c>
      <c r="E15" s="151" t="s">
        <v>1061</v>
      </c>
      <c r="F15" s="152" t="s">
        <v>1062</v>
      </c>
      <c r="G15" s="153" t="s">
        <v>1063</v>
      </c>
      <c r="H15" s="137"/>
      <c r="I15" s="137"/>
    </row>
    <row r="16" spans="2:9" s="126" customFormat="1" ht="15" customHeight="1">
      <c r="B16" s="154"/>
      <c r="C16" s="155"/>
      <c r="D16" s="156"/>
      <c r="E16" s="157"/>
      <c r="F16" s="157"/>
      <c r="G16" s="157">
        <f>+G13+E16-F16</f>
        <v>14969172.65</v>
      </c>
      <c r="H16" s="158"/>
      <c r="I16" s="158"/>
    </row>
    <row r="17" spans="2:9" s="126" customFormat="1" ht="15.95" customHeight="1">
      <c r="B17" s="154">
        <v>44410</v>
      </c>
      <c r="C17" s="155">
        <v>24028244912</v>
      </c>
      <c r="D17" s="156" t="s">
        <v>1064</v>
      </c>
      <c r="E17" s="157">
        <v>10000</v>
      </c>
      <c r="F17" s="157"/>
      <c r="G17" s="157">
        <f>+G16+E17-F17</f>
        <v>14979172.65</v>
      </c>
      <c r="H17" s="158"/>
      <c r="I17" s="158"/>
    </row>
    <row r="18" spans="2:9" s="126" customFormat="1" ht="15.95" customHeight="1">
      <c r="B18" s="154">
        <v>44411</v>
      </c>
      <c r="C18" s="155">
        <v>463231947</v>
      </c>
      <c r="D18" s="156" t="s">
        <v>1064</v>
      </c>
      <c r="E18" s="157">
        <v>1170236</v>
      </c>
      <c r="F18" s="157"/>
      <c r="G18" s="157">
        <f t="shared" ref="G18:G81" si="0">+G17+E18-F18</f>
        <v>16149408.65</v>
      </c>
      <c r="H18" s="158"/>
      <c r="I18" s="158"/>
    </row>
    <row r="19" spans="2:9" s="126" customFormat="1" ht="15.95" customHeight="1">
      <c r="B19" s="154">
        <v>44411</v>
      </c>
      <c r="C19" s="155">
        <v>463231946</v>
      </c>
      <c r="D19" s="156" t="s">
        <v>1064</v>
      </c>
      <c r="E19" s="157">
        <v>1115901</v>
      </c>
      <c r="F19" s="157"/>
      <c r="G19" s="157">
        <f t="shared" si="0"/>
        <v>17265309.649999999</v>
      </c>
      <c r="H19" s="158"/>
      <c r="I19" s="158"/>
    </row>
    <row r="20" spans="2:9" s="126" customFormat="1" ht="15.95" customHeight="1">
      <c r="B20" s="154">
        <v>44411</v>
      </c>
      <c r="C20" s="155">
        <v>24032558524</v>
      </c>
      <c r="D20" s="156" t="s">
        <v>1064</v>
      </c>
      <c r="E20" s="157">
        <v>200000</v>
      </c>
      <c r="F20" s="157"/>
      <c r="G20" s="157">
        <f t="shared" si="0"/>
        <v>17465309.649999999</v>
      </c>
      <c r="H20" s="158"/>
      <c r="I20" s="158"/>
    </row>
    <row r="21" spans="2:9" s="126" customFormat="1" ht="15.95" customHeight="1">
      <c r="B21" s="154">
        <v>44411</v>
      </c>
      <c r="C21" s="155">
        <v>24032536648</v>
      </c>
      <c r="D21" s="156" t="s">
        <v>1064</v>
      </c>
      <c r="E21" s="157">
        <v>50100000</v>
      </c>
      <c r="F21" s="157"/>
      <c r="G21" s="157">
        <f t="shared" si="0"/>
        <v>67565309.650000006</v>
      </c>
      <c r="H21" s="158"/>
      <c r="I21" s="158"/>
    </row>
    <row r="22" spans="2:9" s="126" customFormat="1" ht="15.95" customHeight="1">
      <c r="B22" s="154">
        <v>44411</v>
      </c>
      <c r="C22" s="155">
        <v>19617163</v>
      </c>
      <c r="D22" s="156" t="s">
        <v>1064</v>
      </c>
      <c r="E22" s="157">
        <v>10000000</v>
      </c>
      <c r="F22" s="157"/>
      <c r="G22" s="157">
        <f t="shared" si="0"/>
        <v>77565309.650000006</v>
      </c>
      <c r="H22" s="158"/>
      <c r="I22" s="158"/>
    </row>
    <row r="23" spans="2:9" s="126" customFormat="1" ht="15.95" customHeight="1">
      <c r="B23" s="154">
        <v>44411</v>
      </c>
      <c r="C23" s="155">
        <v>23655</v>
      </c>
      <c r="D23" s="156" t="s">
        <v>1065</v>
      </c>
      <c r="E23" s="157">
        <v>125802.9</v>
      </c>
      <c r="F23" s="157"/>
      <c r="G23" s="157">
        <f t="shared" si="0"/>
        <v>77691112.550000012</v>
      </c>
      <c r="H23" s="158"/>
      <c r="I23" s="158"/>
    </row>
    <row r="24" spans="2:9" s="126" customFormat="1" ht="15.95" customHeight="1">
      <c r="B24" s="154">
        <v>44411</v>
      </c>
      <c r="C24" s="155">
        <v>23667</v>
      </c>
      <c r="D24" s="156" t="s">
        <v>1066</v>
      </c>
      <c r="E24" s="157"/>
      <c r="F24" s="157">
        <v>22111.8</v>
      </c>
      <c r="G24" s="157">
        <f t="shared" si="0"/>
        <v>77669000.750000015</v>
      </c>
      <c r="H24" s="158"/>
      <c r="I24" s="158"/>
    </row>
    <row r="25" spans="2:9" s="126" customFormat="1" ht="15.95" customHeight="1">
      <c r="B25" s="154">
        <v>44411</v>
      </c>
      <c r="C25" s="155">
        <v>23386</v>
      </c>
      <c r="D25" s="156" t="s">
        <v>1067</v>
      </c>
      <c r="E25" s="157"/>
      <c r="F25" s="157">
        <v>27094.799999999999</v>
      </c>
      <c r="G25" s="157">
        <f t="shared" si="0"/>
        <v>77641905.950000018</v>
      </c>
      <c r="H25" s="158"/>
      <c r="I25" s="158"/>
    </row>
    <row r="26" spans="2:9" s="126" customFormat="1" ht="15.95" customHeight="1">
      <c r="B26" s="154">
        <v>44411</v>
      </c>
      <c r="C26" s="155">
        <v>23576</v>
      </c>
      <c r="D26" s="156" t="s">
        <v>1068</v>
      </c>
      <c r="E26" s="157"/>
      <c r="F26" s="157">
        <v>30456.85</v>
      </c>
      <c r="G26" s="157">
        <f t="shared" si="0"/>
        <v>77611449.100000024</v>
      </c>
      <c r="H26" s="158"/>
      <c r="I26" s="158"/>
    </row>
    <row r="27" spans="2:9" s="126" customFormat="1" ht="15.95" customHeight="1">
      <c r="B27" s="154">
        <v>44411</v>
      </c>
      <c r="C27" s="155">
        <v>23507</v>
      </c>
      <c r="D27" s="156" t="s">
        <v>1069</v>
      </c>
      <c r="E27" s="157"/>
      <c r="F27" s="157">
        <v>44300.88</v>
      </c>
      <c r="G27" s="157">
        <f t="shared" si="0"/>
        <v>77567148.220000029</v>
      </c>
      <c r="H27" s="158"/>
      <c r="I27" s="158"/>
    </row>
    <row r="28" spans="2:9" s="126" customFormat="1" ht="15.95" customHeight="1">
      <c r="B28" s="154">
        <v>44411</v>
      </c>
      <c r="C28" s="155">
        <v>23673</v>
      </c>
      <c r="D28" s="156" t="s">
        <v>1070</v>
      </c>
      <c r="E28" s="157"/>
      <c r="F28" s="157">
        <v>45008.72</v>
      </c>
      <c r="G28" s="157">
        <f t="shared" si="0"/>
        <v>77522139.50000003</v>
      </c>
      <c r="H28" s="158"/>
      <c r="I28" s="158"/>
    </row>
    <row r="29" spans="2:9" s="126" customFormat="1" ht="15.95" customHeight="1">
      <c r="B29" s="154">
        <v>44411</v>
      </c>
      <c r="C29" s="155">
        <v>23495</v>
      </c>
      <c r="D29" s="156" t="s">
        <v>1071</v>
      </c>
      <c r="E29" s="157"/>
      <c r="F29" s="157">
        <v>49959.62</v>
      </c>
      <c r="G29" s="157">
        <f t="shared" si="0"/>
        <v>77472179.880000025</v>
      </c>
      <c r="H29" s="158"/>
      <c r="I29" s="158"/>
    </row>
    <row r="30" spans="2:9" s="126" customFormat="1" ht="15.95" customHeight="1">
      <c r="B30" s="154">
        <v>44411</v>
      </c>
      <c r="C30" s="155">
        <v>23551</v>
      </c>
      <c r="D30" s="156" t="s">
        <v>1072</v>
      </c>
      <c r="E30" s="157"/>
      <c r="F30" s="157">
        <v>52177.35</v>
      </c>
      <c r="G30" s="157">
        <f t="shared" si="0"/>
        <v>77420002.530000031</v>
      </c>
      <c r="H30" s="158"/>
      <c r="I30" s="158"/>
    </row>
    <row r="31" spans="2:9" s="126" customFormat="1" ht="15.95" customHeight="1">
      <c r="B31" s="154">
        <v>44411</v>
      </c>
      <c r="C31" s="155">
        <v>23494</v>
      </c>
      <c r="D31" s="156" t="s">
        <v>1073</v>
      </c>
      <c r="E31" s="157"/>
      <c r="F31" s="157">
        <v>55849.84</v>
      </c>
      <c r="G31" s="157">
        <f t="shared" si="0"/>
        <v>77364152.690000027</v>
      </c>
      <c r="H31" s="158"/>
      <c r="I31" s="158"/>
    </row>
    <row r="32" spans="2:9" s="126" customFormat="1" ht="15.95" customHeight="1">
      <c r="B32" s="154">
        <v>44411</v>
      </c>
      <c r="C32" s="155">
        <v>23523</v>
      </c>
      <c r="D32" s="156" t="s">
        <v>1074</v>
      </c>
      <c r="E32" s="157"/>
      <c r="F32" s="157">
        <v>70331.48</v>
      </c>
      <c r="G32" s="157">
        <f t="shared" si="0"/>
        <v>77293821.210000023</v>
      </c>
      <c r="H32" s="158"/>
      <c r="I32" s="158"/>
    </row>
    <row r="33" spans="2:9" s="126" customFormat="1" ht="15.95" customHeight="1">
      <c r="B33" s="154">
        <v>44411</v>
      </c>
      <c r="C33" s="155">
        <v>23560</v>
      </c>
      <c r="D33" s="156" t="s">
        <v>1075</v>
      </c>
      <c r="E33" s="157"/>
      <c r="F33" s="157">
        <v>71344.02</v>
      </c>
      <c r="G33" s="157">
        <f t="shared" si="0"/>
        <v>77222477.190000027</v>
      </c>
      <c r="H33" s="158"/>
      <c r="I33" s="158"/>
    </row>
    <row r="34" spans="2:9" s="126" customFormat="1" ht="15.95" customHeight="1">
      <c r="B34" s="154">
        <v>44411</v>
      </c>
      <c r="C34" s="155">
        <v>23315</v>
      </c>
      <c r="D34" s="156" t="s">
        <v>1076</v>
      </c>
      <c r="E34" s="157"/>
      <c r="F34" s="157">
        <v>72766.5</v>
      </c>
      <c r="G34" s="157">
        <f t="shared" si="0"/>
        <v>77149710.690000027</v>
      </c>
      <c r="H34" s="158"/>
      <c r="I34" s="158"/>
    </row>
    <row r="35" spans="2:9" s="126" customFormat="1" ht="15.95" customHeight="1">
      <c r="B35" s="154">
        <v>44411</v>
      </c>
      <c r="C35" s="155">
        <v>23502</v>
      </c>
      <c r="D35" s="156" t="s">
        <v>1077</v>
      </c>
      <c r="E35" s="157"/>
      <c r="F35" s="157">
        <v>82636.83</v>
      </c>
      <c r="G35" s="157">
        <f t="shared" si="0"/>
        <v>77067073.860000029</v>
      </c>
      <c r="H35" s="158"/>
      <c r="I35" s="158"/>
    </row>
    <row r="36" spans="2:9" s="126" customFormat="1" ht="15.95" customHeight="1">
      <c r="B36" s="154">
        <v>44411</v>
      </c>
      <c r="C36" s="155">
        <v>23490</v>
      </c>
      <c r="D36" s="156" t="s">
        <v>1078</v>
      </c>
      <c r="E36" s="157"/>
      <c r="F36" s="157">
        <v>92356.56</v>
      </c>
      <c r="G36" s="157">
        <f t="shared" si="0"/>
        <v>76974717.300000027</v>
      </c>
      <c r="H36" s="158"/>
      <c r="I36" s="158"/>
    </row>
    <row r="37" spans="2:9" s="126" customFormat="1" ht="15.95" customHeight="1">
      <c r="B37" s="154">
        <v>44411</v>
      </c>
      <c r="C37" s="155">
        <v>23672</v>
      </c>
      <c r="D37" s="156" t="s">
        <v>1079</v>
      </c>
      <c r="E37" s="157"/>
      <c r="F37" s="157">
        <v>92617.62</v>
      </c>
      <c r="G37" s="157">
        <f t="shared" si="0"/>
        <v>76882099.680000022</v>
      </c>
      <c r="H37" s="158"/>
      <c r="I37" s="158"/>
    </row>
    <row r="38" spans="2:9" s="126" customFormat="1" ht="15.95" customHeight="1">
      <c r="B38" s="154">
        <v>44411</v>
      </c>
      <c r="C38" s="155">
        <v>23579</v>
      </c>
      <c r="D38" s="156" t="s">
        <v>1080</v>
      </c>
      <c r="E38" s="157"/>
      <c r="F38" s="157">
        <v>95497.23</v>
      </c>
      <c r="G38" s="157">
        <f t="shared" si="0"/>
        <v>76786602.450000018</v>
      </c>
      <c r="H38" s="158"/>
      <c r="I38" s="158"/>
    </row>
    <row r="39" spans="2:9" s="126" customFormat="1" ht="15.95" customHeight="1">
      <c r="B39" s="154">
        <v>44411</v>
      </c>
      <c r="C39" s="155">
        <v>23671</v>
      </c>
      <c r="D39" s="156" t="s">
        <v>1081</v>
      </c>
      <c r="E39" s="157"/>
      <c r="F39" s="157">
        <v>98955</v>
      </c>
      <c r="G39" s="157">
        <f t="shared" si="0"/>
        <v>76687647.450000018</v>
      </c>
      <c r="H39" s="158"/>
      <c r="I39" s="158"/>
    </row>
    <row r="40" spans="2:9" s="126" customFormat="1" ht="15.95" customHeight="1">
      <c r="B40" s="154">
        <v>44411</v>
      </c>
      <c r="C40" s="159">
        <v>23456</v>
      </c>
      <c r="D40" s="156" t="s">
        <v>1082</v>
      </c>
      <c r="E40" s="157"/>
      <c r="F40" s="157">
        <v>104202.43</v>
      </c>
      <c r="G40" s="157">
        <f t="shared" si="0"/>
        <v>76583445.020000011</v>
      </c>
      <c r="H40" s="158"/>
      <c r="I40" s="158"/>
    </row>
    <row r="41" spans="2:9" s="126" customFormat="1" ht="15.95" customHeight="1">
      <c r="B41" s="154">
        <v>44411</v>
      </c>
      <c r="C41" s="159">
        <v>23496</v>
      </c>
      <c r="D41" s="156" t="s">
        <v>1083</v>
      </c>
      <c r="E41" s="157"/>
      <c r="F41" s="157">
        <v>109869.8</v>
      </c>
      <c r="G41" s="157">
        <f t="shared" si="0"/>
        <v>76473575.220000014</v>
      </c>
      <c r="H41" s="158"/>
      <c r="I41" s="158"/>
    </row>
    <row r="42" spans="2:9" s="126" customFormat="1" ht="15.95" customHeight="1">
      <c r="B42" s="154">
        <v>44411</v>
      </c>
      <c r="C42" s="159">
        <v>23492</v>
      </c>
      <c r="D42" s="156" t="s">
        <v>1084</v>
      </c>
      <c r="E42" s="157"/>
      <c r="F42" s="157">
        <v>111123.52</v>
      </c>
      <c r="G42" s="157">
        <f t="shared" si="0"/>
        <v>76362451.700000018</v>
      </c>
      <c r="H42" s="158"/>
      <c r="I42" s="158"/>
    </row>
    <row r="43" spans="2:9" s="126" customFormat="1" ht="15.95" customHeight="1">
      <c r="B43" s="154">
        <v>44411</v>
      </c>
      <c r="C43" s="155">
        <v>23721</v>
      </c>
      <c r="D43" s="156" t="s">
        <v>1085</v>
      </c>
      <c r="E43" s="157"/>
      <c r="F43" s="157">
        <v>112173</v>
      </c>
      <c r="G43" s="157">
        <f t="shared" si="0"/>
        <v>76250278.700000018</v>
      </c>
      <c r="H43" s="158"/>
      <c r="I43" s="158"/>
    </row>
    <row r="44" spans="2:9" s="126" customFormat="1" ht="15.95" customHeight="1">
      <c r="B44" s="154">
        <v>44411</v>
      </c>
      <c r="C44" s="159">
        <v>23674</v>
      </c>
      <c r="D44" s="156" t="s">
        <v>1086</v>
      </c>
      <c r="E44" s="157"/>
      <c r="F44" s="157">
        <v>114793.26</v>
      </c>
      <c r="G44" s="157">
        <f t="shared" si="0"/>
        <v>76135485.440000013</v>
      </c>
      <c r="H44" s="158"/>
      <c r="I44" s="158"/>
    </row>
    <row r="45" spans="2:9" s="126" customFormat="1" ht="15.95" customHeight="1">
      <c r="B45" s="154">
        <v>44411</v>
      </c>
      <c r="C45" s="159">
        <v>23719</v>
      </c>
      <c r="D45" s="156" t="s">
        <v>1087</v>
      </c>
      <c r="E45" s="157"/>
      <c r="F45" s="157">
        <v>115670</v>
      </c>
      <c r="G45" s="157">
        <f t="shared" si="0"/>
        <v>76019815.440000013</v>
      </c>
      <c r="H45" s="158"/>
      <c r="I45" s="158"/>
    </row>
    <row r="46" spans="2:9" s="126" customFormat="1" ht="15.95" customHeight="1">
      <c r="B46" s="154">
        <v>44411</v>
      </c>
      <c r="C46" s="159">
        <v>23720</v>
      </c>
      <c r="D46" s="156" t="s">
        <v>1085</v>
      </c>
      <c r="E46" s="157"/>
      <c r="F46" s="157">
        <v>117553</v>
      </c>
      <c r="G46" s="157">
        <f t="shared" si="0"/>
        <v>75902262.440000013</v>
      </c>
      <c r="H46" s="158"/>
      <c r="I46" s="158"/>
    </row>
    <row r="47" spans="2:9" s="126" customFormat="1" ht="15.95" customHeight="1">
      <c r="B47" s="154">
        <v>44411</v>
      </c>
      <c r="C47" s="159">
        <v>23666</v>
      </c>
      <c r="D47" s="156" t="s">
        <v>1088</v>
      </c>
      <c r="E47" s="157"/>
      <c r="F47" s="157">
        <v>123735</v>
      </c>
      <c r="G47" s="157">
        <f t="shared" si="0"/>
        <v>75778527.440000013</v>
      </c>
      <c r="H47" s="158"/>
      <c r="I47" s="158"/>
    </row>
    <row r="48" spans="2:9" s="126" customFormat="1" ht="15.95" customHeight="1">
      <c r="B48" s="154">
        <v>44411</v>
      </c>
      <c r="C48" s="159">
        <v>23675</v>
      </c>
      <c r="D48" s="156" t="s">
        <v>1089</v>
      </c>
      <c r="E48" s="157"/>
      <c r="F48" s="157">
        <v>124195.43</v>
      </c>
      <c r="G48" s="157">
        <f t="shared" si="0"/>
        <v>75654332.010000005</v>
      </c>
      <c r="H48" s="158"/>
      <c r="I48" s="158"/>
    </row>
    <row r="49" spans="2:9" s="126" customFormat="1" ht="15.95" customHeight="1">
      <c r="B49" s="154">
        <v>44411</v>
      </c>
      <c r="C49" s="159">
        <v>23314</v>
      </c>
      <c r="D49" s="156" t="s">
        <v>1090</v>
      </c>
      <c r="E49" s="157"/>
      <c r="F49" s="157">
        <v>142498.67000000001</v>
      </c>
      <c r="G49" s="157">
        <f t="shared" si="0"/>
        <v>75511833.340000004</v>
      </c>
      <c r="H49" s="158"/>
      <c r="I49" s="158"/>
    </row>
    <row r="50" spans="2:9" s="126" customFormat="1" ht="15.95" customHeight="1">
      <c r="B50" s="154">
        <v>44411</v>
      </c>
      <c r="C50" s="159">
        <v>23597</v>
      </c>
      <c r="D50" s="156" t="s">
        <v>1091</v>
      </c>
      <c r="E50" s="157"/>
      <c r="F50" s="157">
        <v>143073.37</v>
      </c>
      <c r="G50" s="157">
        <f t="shared" si="0"/>
        <v>75368759.969999999</v>
      </c>
      <c r="H50" s="158"/>
      <c r="I50" s="158"/>
    </row>
    <row r="51" spans="2:9" s="126" customFormat="1" ht="15.95" customHeight="1">
      <c r="B51" s="154">
        <v>44411</v>
      </c>
      <c r="C51" s="159">
        <v>23618</v>
      </c>
      <c r="D51" s="156" t="s">
        <v>1092</v>
      </c>
      <c r="E51" s="157"/>
      <c r="F51" s="157">
        <v>143073.37</v>
      </c>
      <c r="G51" s="157">
        <f t="shared" si="0"/>
        <v>75225686.599999994</v>
      </c>
      <c r="H51" s="158"/>
      <c r="I51" s="158"/>
    </row>
    <row r="52" spans="2:9" s="126" customFormat="1" ht="15.95" customHeight="1">
      <c r="B52" s="154">
        <v>44411</v>
      </c>
      <c r="C52" s="159">
        <v>23628</v>
      </c>
      <c r="D52" s="156" t="s">
        <v>1093</v>
      </c>
      <c r="E52" s="157"/>
      <c r="F52" s="157">
        <v>158331.85</v>
      </c>
      <c r="G52" s="157">
        <f t="shared" si="0"/>
        <v>75067354.75</v>
      </c>
      <c r="H52" s="158"/>
      <c r="I52" s="158"/>
    </row>
    <row r="53" spans="2:9" s="126" customFormat="1" ht="15.95" customHeight="1">
      <c r="B53" s="154">
        <v>44411</v>
      </c>
      <c r="C53" s="159">
        <v>23525</v>
      </c>
      <c r="D53" s="156" t="s">
        <v>1094</v>
      </c>
      <c r="E53" s="157"/>
      <c r="F53" s="157">
        <v>160680.71</v>
      </c>
      <c r="G53" s="157">
        <f t="shared" si="0"/>
        <v>74906674.040000007</v>
      </c>
      <c r="H53" s="158"/>
      <c r="I53" s="158"/>
    </row>
    <row r="54" spans="2:9" s="126" customFormat="1" ht="15.95" customHeight="1">
      <c r="B54" s="154">
        <v>44411</v>
      </c>
      <c r="C54" s="159">
        <v>23563</v>
      </c>
      <c r="D54" s="156" t="s">
        <v>1095</v>
      </c>
      <c r="E54" s="157"/>
      <c r="F54" s="157">
        <v>171819.22</v>
      </c>
      <c r="G54" s="157">
        <f t="shared" si="0"/>
        <v>74734854.820000008</v>
      </c>
      <c r="H54" s="158"/>
      <c r="I54" s="158"/>
    </row>
    <row r="55" spans="2:9" s="126" customFormat="1" ht="15.95" customHeight="1">
      <c r="B55" s="154">
        <v>44411</v>
      </c>
      <c r="C55" s="159">
        <v>23684</v>
      </c>
      <c r="D55" s="156" t="s">
        <v>1096</v>
      </c>
      <c r="E55" s="157"/>
      <c r="F55" s="157">
        <v>173265.97</v>
      </c>
      <c r="G55" s="157">
        <f t="shared" si="0"/>
        <v>74561588.850000009</v>
      </c>
      <c r="H55" s="158"/>
      <c r="I55" s="158"/>
    </row>
    <row r="56" spans="2:9" s="126" customFormat="1" ht="15.95" customHeight="1">
      <c r="B56" s="154">
        <v>44411</v>
      </c>
      <c r="C56" s="159">
        <v>23489</v>
      </c>
      <c r="D56" s="156" t="s">
        <v>1097</v>
      </c>
      <c r="E56" s="157"/>
      <c r="F56" s="157">
        <v>202211.59</v>
      </c>
      <c r="G56" s="157">
        <f t="shared" si="0"/>
        <v>74359377.260000005</v>
      </c>
      <c r="H56" s="158"/>
      <c r="I56" s="158"/>
    </row>
    <row r="57" spans="2:9" s="126" customFormat="1" ht="15.95" customHeight="1">
      <c r="B57" s="154">
        <v>44411</v>
      </c>
      <c r="C57" s="159">
        <v>23685</v>
      </c>
      <c r="D57" s="156" t="s">
        <v>1096</v>
      </c>
      <c r="E57" s="157"/>
      <c r="F57" s="157">
        <v>213447.67</v>
      </c>
      <c r="G57" s="157">
        <f t="shared" si="0"/>
        <v>74145929.590000004</v>
      </c>
      <c r="H57" s="158"/>
      <c r="I57" s="158"/>
    </row>
    <row r="58" spans="2:9" s="126" customFormat="1" ht="15.95" customHeight="1">
      <c r="B58" s="154">
        <v>44411</v>
      </c>
      <c r="C58" s="155">
        <v>23686</v>
      </c>
      <c r="D58" s="156" t="s">
        <v>1096</v>
      </c>
      <c r="E58" s="157"/>
      <c r="F58" s="157">
        <v>245503.78</v>
      </c>
      <c r="G58" s="157">
        <f t="shared" si="0"/>
        <v>73900425.810000002</v>
      </c>
      <c r="H58" s="158"/>
      <c r="I58" s="158"/>
    </row>
    <row r="59" spans="2:9" s="126" customFormat="1" ht="15.95" customHeight="1">
      <c r="B59" s="154">
        <v>44411</v>
      </c>
      <c r="C59" s="155">
        <v>23520</v>
      </c>
      <c r="D59" s="156" t="s">
        <v>1098</v>
      </c>
      <c r="E59" s="157"/>
      <c r="F59" s="157">
        <v>267547.21000000002</v>
      </c>
      <c r="G59" s="157">
        <f t="shared" si="0"/>
        <v>73632878.600000009</v>
      </c>
      <c r="H59" s="158"/>
      <c r="I59" s="158"/>
    </row>
    <row r="60" spans="2:9" s="126" customFormat="1" ht="15.95" customHeight="1">
      <c r="B60" s="154">
        <v>44411</v>
      </c>
      <c r="C60" s="155">
        <v>23545</v>
      </c>
      <c r="D60" s="156" t="s">
        <v>1099</v>
      </c>
      <c r="E60" s="157"/>
      <c r="F60" s="157">
        <v>282686.31</v>
      </c>
      <c r="G60" s="157">
        <f t="shared" si="0"/>
        <v>73350192.290000007</v>
      </c>
      <c r="H60" s="158"/>
      <c r="I60" s="158"/>
    </row>
    <row r="61" spans="2:9" s="126" customFormat="1" ht="15.95" customHeight="1">
      <c r="B61" s="154">
        <v>44411</v>
      </c>
      <c r="C61" s="155">
        <v>23677</v>
      </c>
      <c r="D61" s="156" t="s">
        <v>1100</v>
      </c>
      <c r="E61" s="157"/>
      <c r="F61" s="157">
        <v>291992</v>
      </c>
      <c r="G61" s="157">
        <f t="shared" si="0"/>
        <v>73058200.290000007</v>
      </c>
      <c r="H61" s="158"/>
      <c r="I61" s="158"/>
    </row>
    <row r="62" spans="2:9" s="126" customFormat="1" ht="15.95" customHeight="1">
      <c r="B62" s="154">
        <v>44411</v>
      </c>
      <c r="C62" s="155">
        <v>23683</v>
      </c>
      <c r="D62" s="156" t="s">
        <v>1096</v>
      </c>
      <c r="E62" s="157"/>
      <c r="F62" s="157">
        <v>540804</v>
      </c>
      <c r="G62" s="157">
        <f t="shared" si="0"/>
        <v>72517396.290000007</v>
      </c>
      <c r="H62" s="158"/>
      <c r="I62" s="158"/>
    </row>
    <row r="63" spans="2:9" s="126" customFormat="1" ht="15.95" customHeight="1">
      <c r="B63" s="154">
        <v>44411</v>
      </c>
      <c r="C63" s="155">
        <v>23682</v>
      </c>
      <c r="D63" s="156" t="s">
        <v>1096</v>
      </c>
      <c r="E63" s="157"/>
      <c r="F63" s="157">
        <v>552204</v>
      </c>
      <c r="G63" s="157">
        <f t="shared" si="0"/>
        <v>71965192.290000007</v>
      </c>
      <c r="H63" s="158"/>
      <c r="I63" s="158"/>
    </row>
    <row r="64" spans="2:9" s="126" customFormat="1" ht="15.95" customHeight="1">
      <c r="B64" s="154">
        <v>44411</v>
      </c>
      <c r="C64" s="155">
        <v>23670</v>
      </c>
      <c r="D64" s="156" t="s">
        <v>1101</v>
      </c>
      <c r="E64" s="157"/>
      <c r="F64" s="157">
        <v>562633.30000000005</v>
      </c>
      <c r="G64" s="157">
        <f t="shared" si="0"/>
        <v>71402558.99000001</v>
      </c>
      <c r="H64" s="158"/>
      <c r="I64" s="158"/>
    </row>
    <row r="65" spans="2:9" s="126" customFormat="1" ht="15.95" customHeight="1">
      <c r="B65" s="154">
        <v>44411</v>
      </c>
      <c r="C65" s="155">
        <v>23544</v>
      </c>
      <c r="D65" s="156" t="s">
        <v>1102</v>
      </c>
      <c r="E65" s="157"/>
      <c r="F65" s="157">
        <v>679370.56</v>
      </c>
      <c r="G65" s="157">
        <f t="shared" si="0"/>
        <v>70723188.430000007</v>
      </c>
      <c r="H65" s="158"/>
      <c r="I65" s="158"/>
    </row>
    <row r="66" spans="2:9" s="126" customFormat="1" ht="15.95" customHeight="1">
      <c r="B66" s="154">
        <v>44411</v>
      </c>
      <c r="C66" s="155">
        <v>23809</v>
      </c>
      <c r="D66" s="156" t="s">
        <v>1103</v>
      </c>
      <c r="E66" s="157"/>
      <c r="F66" s="157">
        <v>1368000</v>
      </c>
      <c r="G66" s="157">
        <f t="shared" si="0"/>
        <v>69355188.430000007</v>
      </c>
      <c r="H66" s="158"/>
      <c r="I66" s="158"/>
    </row>
    <row r="67" spans="2:9" s="126" customFormat="1" ht="15.95" customHeight="1">
      <c r="B67" s="154">
        <v>44411</v>
      </c>
      <c r="C67" s="155">
        <v>23620</v>
      </c>
      <c r="D67" s="156" t="s">
        <v>1104</v>
      </c>
      <c r="E67" s="157"/>
      <c r="F67" s="157">
        <v>1470487.77</v>
      </c>
      <c r="G67" s="157">
        <f t="shared" si="0"/>
        <v>67884700.660000011</v>
      </c>
      <c r="H67" s="158"/>
      <c r="I67" s="158"/>
    </row>
    <row r="68" spans="2:9" s="126" customFormat="1" ht="15.95" customHeight="1">
      <c r="B68" s="154">
        <v>44411</v>
      </c>
      <c r="C68" s="159">
        <v>23774</v>
      </c>
      <c r="D68" s="156" t="s">
        <v>1105</v>
      </c>
      <c r="E68" s="157"/>
      <c r="F68" s="157">
        <v>2286137</v>
      </c>
      <c r="G68" s="157">
        <f t="shared" si="0"/>
        <v>65598563.660000011</v>
      </c>
      <c r="H68" s="158"/>
      <c r="I68" s="158"/>
    </row>
    <row r="69" spans="2:9" s="126" customFormat="1" ht="15.95" customHeight="1">
      <c r="B69" s="154">
        <v>44411</v>
      </c>
      <c r="C69" s="159">
        <v>23897</v>
      </c>
      <c r="D69" s="156" t="s">
        <v>1106</v>
      </c>
      <c r="E69" s="157"/>
      <c r="F69" s="157">
        <v>10000000</v>
      </c>
      <c r="G69" s="157">
        <f t="shared" si="0"/>
        <v>55598563.660000011</v>
      </c>
      <c r="H69" s="158"/>
      <c r="I69" s="158"/>
    </row>
    <row r="70" spans="2:9" s="126" customFormat="1" ht="15.95" customHeight="1">
      <c r="B70" s="154">
        <v>44411</v>
      </c>
      <c r="C70" s="155">
        <v>23898</v>
      </c>
      <c r="D70" s="156" t="s">
        <v>1106</v>
      </c>
      <c r="E70" s="157"/>
      <c r="F70" s="157">
        <v>10000000</v>
      </c>
      <c r="G70" s="157">
        <f t="shared" si="0"/>
        <v>45598563.660000011</v>
      </c>
      <c r="H70" s="158"/>
      <c r="I70" s="158"/>
    </row>
    <row r="71" spans="2:9" s="126" customFormat="1" ht="15.95" customHeight="1">
      <c r="B71" s="154">
        <v>44411</v>
      </c>
      <c r="C71" s="155">
        <v>23899</v>
      </c>
      <c r="D71" s="156" t="s">
        <v>1106</v>
      </c>
      <c r="E71" s="157"/>
      <c r="F71" s="157">
        <v>10000000</v>
      </c>
      <c r="G71" s="157">
        <f t="shared" si="0"/>
        <v>35598563.660000011</v>
      </c>
      <c r="H71" s="158"/>
      <c r="I71" s="158"/>
    </row>
    <row r="72" spans="2:9" s="126" customFormat="1" ht="15.95" customHeight="1">
      <c r="B72" s="154">
        <v>44411</v>
      </c>
      <c r="C72" s="155">
        <v>23900</v>
      </c>
      <c r="D72" s="156" t="s">
        <v>1106</v>
      </c>
      <c r="E72" s="157"/>
      <c r="F72" s="157">
        <v>10000000</v>
      </c>
      <c r="G72" s="157">
        <f t="shared" si="0"/>
        <v>25598563.660000011</v>
      </c>
      <c r="H72" s="158"/>
      <c r="I72" s="158"/>
    </row>
    <row r="73" spans="2:9" s="126" customFormat="1" ht="15.95" customHeight="1">
      <c r="B73" s="154">
        <v>44411</v>
      </c>
      <c r="C73" s="155">
        <v>23901</v>
      </c>
      <c r="D73" s="156" t="s">
        <v>1106</v>
      </c>
      <c r="E73" s="157"/>
      <c r="F73" s="157">
        <v>10000000</v>
      </c>
      <c r="G73" s="157">
        <f t="shared" si="0"/>
        <v>15598563.660000011</v>
      </c>
      <c r="H73" s="158"/>
      <c r="I73" s="158"/>
    </row>
    <row r="74" spans="2:9" s="126" customFormat="1" ht="15.95" customHeight="1">
      <c r="B74" s="154">
        <v>44411</v>
      </c>
      <c r="C74" s="159">
        <v>24032549306</v>
      </c>
      <c r="D74" s="156" t="s">
        <v>1106</v>
      </c>
      <c r="E74" s="157"/>
      <c r="F74" s="157">
        <v>100000</v>
      </c>
      <c r="G74" s="157">
        <f t="shared" si="0"/>
        <v>15498563.660000011</v>
      </c>
      <c r="H74" s="158"/>
      <c r="I74" s="158"/>
    </row>
    <row r="75" spans="2:9" s="126" customFormat="1" ht="15.95" customHeight="1">
      <c r="B75" s="154">
        <v>44294</v>
      </c>
      <c r="C75" s="159">
        <v>23350</v>
      </c>
      <c r="D75" s="156" t="s">
        <v>1065</v>
      </c>
      <c r="E75" s="157">
        <v>63933.25</v>
      </c>
      <c r="F75" s="157"/>
      <c r="G75" s="157">
        <f t="shared" si="0"/>
        <v>15562496.910000011</v>
      </c>
      <c r="H75" s="158"/>
      <c r="I75" s="158"/>
    </row>
    <row r="76" spans="2:9" s="126" customFormat="1" ht="15.95" customHeight="1">
      <c r="B76" s="154">
        <v>44413</v>
      </c>
      <c r="C76" s="159">
        <v>463226021</v>
      </c>
      <c r="D76" s="156" t="s">
        <v>1064</v>
      </c>
      <c r="E76" s="157">
        <v>361652</v>
      </c>
      <c r="F76" s="157"/>
      <c r="G76" s="157">
        <f t="shared" si="0"/>
        <v>15924148.910000011</v>
      </c>
      <c r="H76" s="158"/>
      <c r="I76" s="158"/>
    </row>
    <row r="77" spans="2:9" s="126" customFormat="1" ht="15.95" customHeight="1">
      <c r="B77" s="154">
        <v>44413</v>
      </c>
      <c r="C77" s="159">
        <v>463226020</v>
      </c>
      <c r="D77" s="156" t="s">
        <v>1064</v>
      </c>
      <c r="E77" s="157">
        <v>29600</v>
      </c>
      <c r="F77" s="157"/>
      <c r="G77" s="157">
        <f t="shared" si="0"/>
        <v>15953748.910000011</v>
      </c>
      <c r="H77" s="158"/>
      <c r="I77" s="158"/>
    </row>
    <row r="78" spans="2:9" s="126" customFormat="1" ht="15.95" customHeight="1">
      <c r="B78" s="154">
        <v>44413</v>
      </c>
      <c r="C78" s="159">
        <v>463226016</v>
      </c>
      <c r="D78" s="156" t="s">
        <v>1064</v>
      </c>
      <c r="E78" s="157">
        <v>580757</v>
      </c>
      <c r="F78" s="157"/>
      <c r="G78" s="157">
        <f t="shared" si="0"/>
        <v>16534505.910000011</v>
      </c>
      <c r="H78" s="158"/>
      <c r="I78" s="158"/>
    </row>
    <row r="79" spans="2:9" s="126" customFormat="1" ht="15.95" customHeight="1">
      <c r="B79" s="154">
        <v>44413</v>
      </c>
      <c r="C79" s="159">
        <v>19617182</v>
      </c>
      <c r="D79" s="156" t="s">
        <v>1064</v>
      </c>
      <c r="E79" s="157">
        <v>2286137</v>
      </c>
      <c r="F79" s="157"/>
      <c r="G79" s="157">
        <f t="shared" si="0"/>
        <v>18820642.910000011</v>
      </c>
      <c r="H79" s="158"/>
      <c r="I79" s="158"/>
    </row>
    <row r="80" spans="2:9" s="126" customFormat="1" ht="15.95" customHeight="1">
      <c r="B80" s="154">
        <v>44413</v>
      </c>
      <c r="C80" s="159">
        <v>19617164</v>
      </c>
      <c r="D80" s="156" t="s">
        <v>1064</v>
      </c>
      <c r="E80" s="157">
        <v>10000000</v>
      </c>
      <c r="F80" s="157"/>
      <c r="G80" s="157">
        <f t="shared" si="0"/>
        <v>28820642.910000011</v>
      </c>
      <c r="H80" s="158"/>
      <c r="I80" s="158"/>
    </row>
    <row r="81" spans="2:9" s="126" customFormat="1" ht="15.95" customHeight="1">
      <c r="B81" s="154">
        <v>44413</v>
      </c>
      <c r="C81" s="159">
        <v>23976</v>
      </c>
      <c r="D81" s="156" t="s">
        <v>1107</v>
      </c>
      <c r="E81" s="157"/>
      <c r="F81" s="157">
        <v>28250</v>
      </c>
      <c r="G81" s="157">
        <f t="shared" si="0"/>
        <v>28792392.910000011</v>
      </c>
      <c r="H81" s="158"/>
      <c r="I81" s="158"/>
    </row>
    <row r="82" spans="2:9" s="126" customFormat="1" ht="15.95" customHeight="1">
      <c r="B82" s="154">
        <v>44413</v>
      </c>
      <c r="C82" s="159">
        <v>23676</v>
      </c>
      <c r="D82" s="156" t="s">
        <v>1108</v>
      </c>
      <c r="E82" s="157"/>
      <c r="F82" s="157">
        <v>35562.71</v>
      </c>
      <c r="G82" s="157">
        <f t="shared" ref="G82:G145" si="1">+G81+E82-F82</f>
        <v>28756830.20000001</v>
      </c>
      <c r="H82" s="158"/>
      <c r="I82" s="158"/>
    </row>
    <row r="83" spans="2:9" s="126" customFormat="1" ht="15.95" customHeight="1">
      <c r="B83" s="154">
        <v>44413</v>
      </c>
      <c r="C83" s="159">
        <v>23785</v>
      </c>
      <c r="D83" s="156" t="s">
        <v>1109</v>
      </c>
      <c r="E83" s="157"/>
      <c r="F83" s="157">
        <v>42831.85</v>
      </c>
      <c r="G83" s="157">
        <f t="shared" si="1"/>
        <v>28713998.350000009</v>
      </c>
      <c r="H83" s="158"/>
      <c r="I83" s="158"/>
    </row>
    <row r="84" spans="2:9" s="126" customFormat="1" ht="15.95" customHeight="1">
      <c r="B84" s="154">
        <v>44413</v>
      </c>
      <c r="C84" s="159">
        <v>23539</v>
      </c>
      <c r="D84" s="156" t="s">
        <v>1110</v>
      </c>
      <c r="E84" s="157"/>
      <c r="F84" s="157">
        <v>52177.35</v>
      </c>
      <c r="G84" s="157">
        <f t="shared" si="1"/>
        <v>28661821.000000007</v>
      </c>
      <c r="H84" s="158"/>
      <c r="I84" s="158"/>
    </row>
    <row r="85" spans="2:9" s="126" customFormat="1" ht="15.95" customHeight="1">
      <c r="B85" s="154">
        <v>44413</v>
      </c>
      <c r="C85" s="159">
        <v>23529</v>
      </c>
      <c r="D85" s="156" t="s">
        <v>1111</v>
      </c>
      <c r="E85" s="157"/>
      <c r="F85" s="157">
        <v>65152.28</v>
      </c>
      <c r="G85" s="157">
        <f t="shared" si="1"/>
        <v>28596668.720000006</v>
      </c>
      <c r="H85" s="158"/>
      <c r="I85" s="158"/>
    </row>
    <row r="86" spans="2:9" s="126" customFormat="1" ht="15.95" customHeight="1">
      <c r="B86" s="154">
        <v>44413</v>
      </c>
      <c r="C86" s="159">
        <v>23701</v>
      </c>
      <c r="D86" s="156" t="s">
        <v>1112</v>
      </c>
      <c r="E86" s="157"/>
      <c r="F86" s="157">
        <v>90684.53</v>
      </c>
      <c r="G86" s="157">
        <f t="shared" si="1"/>
        <v>28505984.190000005</v>
      </c>
      <c r="H86" s="158"/>
      <c r="I86" s="158"/>
    </row>
    <row r="87" spans="2:9" s="126" customFormat="1" ht="15.95" customHeight="1">
      <c r="B87" s="154">
        <v>44413</v>
      </c>
      <c r="C87" s="159">
        <v>23715</v>
      </c>
      <c r="D87" s="156" t="s">
        <v>1112</v>
      </c>
      <c r="E87" s="157"/>
      <c r="F87" s="157">
        <v>97985.62</v>
      </c>
      <c r="G87" s="157">
        <f t="shared" si="1"/>
        <v>28407998.570000004</v>
      </c>
      <c r="H87" s="158"/>
      <c r="I87" s="158"/>
    </row>
    <row r="88" spans="2:9" s="126" customFormat="1" ht="15.95" customHeight="1">
      <c r="B88" s="154">
        <v>44413</v>
      </c>
      <c r="C88" s="159">
        <v>23639</v>
      </c>
      <c r="D88" s="156" t="s">
        <v>1113</v>
      </c>
      <c r="E88" s="157"/>
      <c r="F88" s="157">
        <v>99000</v>
      </c>
      <c r="G88" s="157">
        <f t="shared" si="1"/>
        <v>28308998.570000004</v>
      </c>
      <c r="H88" s="158"/>
      <c r="I88" s="158"/>
    </row>
    <row r="89" spans="2:9" s="126" customFormat="1" ht="15.95" customHeight="1">
      <c r="B89" s="154">
        <v>44413</v>
      </c>
      <c r="C89" s="159">
        <v>23700</v>
      </c>
      <c r="D89" s="156" t="s">
        <v>1112</v>
      </c>
      <c r="E89" s="157"/>
      <c r="F89" s="157">
        <v>109958.76</v>
      </c>
      <c r="G89" s="157">
        <f t="shared" si="1"/>
        <v>28199039.810000002</v>
      </c>
      <c r="H89" s="158"/>
      <c r="I89" s="158"/>
    </row>
    <row r="90" spans="2:9" s="126" customFormat="1" ht="15.95" customHeight="1">
      <c r="B90" s="154">
        <v>44413</v>
      </c>
      <c r="C90" s="159">
        <v>23714</v>
      </c>
      <c r="D90" s="156" t="s">
        <v>1112</v>
      </c>
      <c r="E90" s="157"/>
      <c r="F90" s="157">
        <v>112960.31</v>
      </c>
      <c r="G90" s="157">
        <f t="shared" si="1"/>
        <v>28086079.500000004</v>
      </c>
      <c r="H90" s="158"/>
      <c r="I90" s="158"/>
    </row>
    <row r="91" spans="2:9" s="126" customFormat="1" ht="15.95" customHeight="1">
      <c r="B91" s="154">
        <v>44413</v>
      </c>
      <c r="C91" s="159">
        <v>23679</v>
      </c>
      <c r="D91" s="156" t="s">
        <v>1114</v>
      </c>
      <c r="E91" s="157"/>
      <c r="F91" s="157">
        <v>114808</v>
      </c>
      <c r="G91" s="157">
        <f t="shared" si="1"/>
        <v>27971271.500000004</v>
      </c>
      <c r="H91" s="158"/>
      <c r="I91" s="158"/>
    </row>
    <row r="92" spans="2:9" s="126" customFormat="1" ht="15.95" customHeight="1">
      <c r="B92" s="154">
        <v>44413</v>
      </c>
      <c r="C92" s="159">
        <v>23612</v>
      </c>
      <c r="D92" s="156" t="s">
        <v>1115</v>
      </c>
      <c r="E92" s="157"/>
      <c r="F92" s="157">
        <v>115031.73</v>
      </c>
      <c r="G92" s="157">
        <f t="shared" si="1"/>
        <v>27856239.770000003</v>
      </c>
      <c r="H92" s="158"/>
      <c r="I92" s="158"/>
    </row>
    <row r="93" spans="2:9" s="126" customFormat="1" ht="15.95" customHeight="1">
      <c r="B93" s="154">
        <v>44413</v>
      </c>
      <c r="C93" s="159">
        <v>23702</v>
      </c>
      <c r="D93" s="156" t="s">
        <v>1114</v>
      </c>
      <c r="E93" s="157"/>
      <c r="F93" s="157">
        <v>125524.92</v>
      </c>
      <c r="G93" s="157">
        <f t="shared" si="1"/>
        <v>27730714.850000001</v>
      </c>
      <c r="H93" s="158"/>
      <c r="I93" s="158"/>
    </row>
    <row r="94" spans="2:9" s="126" customFormat="1" ht="15.95" customHeight="1">
      <c r="B94" s="154">
        <v>44413</v>
      </c>
      <c r="C94" s="159">
        <v>23625</v>
      </c>
      <c r="D94" s="156" t="s">
        <v>1116</v>
      </c>
      <c r="E94" s="157"/>
      <c r="F94" s="157">
        <v>134778.06</v>
      </c>
      <c r="G94" s="157">
        <f t="shared" si="1"/>
        <v>27595936.790000003</v>
      </c>
      <c r="H94" s="158"/>
      <c r="I94" s="158"/>
    </row>
    <row r="95" spans="2:9" s="126" customFormat="1" ht="15.95" customHeight="1">
      <c r="B95" s="154">
        <v>44413</v>
      </c>
      <c r="C95" s="159">
        <v>23741</v>
      </c>
      <c r="D95" s="156" t="s">
        <v>1117</v>
      </c>
      <c r="E95" s="157"/>
      <c r="F95" s="157">
        <v>155080.74</v>
      </c>
      <c r="G95" s="157">
        <f t="shared" si="1"/>
        <v>27440856.050000004</v>
      </c>
      <c r="H95" s="158"/>
      <c r="I95" s="158"/>
    </row>
    <row r="96" spans="2:9" s="126" customFormat="1" ht="15.95" customHeight="1">
      <c r="B96" s="154">
        <v>44413</v>
      </c>
      <c r="C96" s="159">
        <v>23533</v>
      </c>
      <c r="D96" s="156" t="s">
        <v>1118</v>
      </c>
      <c r="E96" s="157"/>
      <c r="F96" s="157">
        <v>178969.48</v>
      </c>
      <c r="G96" s="157">
        <f t="shared" si="1"/>
        <v>27261886.570000004</v>
      </c>
      <c r="H96" s="158"/>
      <c r="I96" s="158"/>
    </row>
    <row r="97" spans="2:9" s="126" customFormat="1" ht="15.95" customHeight="1">
      <c r="B97" s="154">
        <v>44413</v>
      </c>
      <c r="C97" s="159">
        <v>23762</v>
      </c>
      <c r="D97" s="156" t="s">
        <v>1119</v>
      </c>
      <c r="E97" s="157"/>
      <c r="F97" s="157">
        <v>271302.87</v>
      </c>
      <c r="G97" s="157">
        <f t="shared" si="1"/>
        <v>26990583.700000003</v>
      </c>
      <c r="H97" s="158"/>
      <c r="I97" s="158"/>
    </row>
    <row r="98" spans="2:9" s="126" customFormat="1" ht="15.95" customHeight="1">
      <c r="B98" s="154">
        <v>44413</v>
      </c>
      <c r="C98" s="155">
        <v>23528</v>
      </c>
      <c r="D98" s="156" t="s">
        <v>1120</v>
      </c>
      <c r="E98" s="157"/>
      <c r="F98" s="157">
        <v>293762.07</v>
      </c>
      <c r="G98" s="157">
        <f t="shared" si="1"/>
        <v>26696821.630000003</v>
      </c>
      <c r="H98" s="158"/>
      <c r="I98" s="158"/>
    </row>
    <row r="99" spans="2:9" s="126" customFormat="1" ht="15.95" customHeight="1">
      <c r="B99" s="154">
        <v>44413</v>
      </c>
      <c r="C99" s="155">
        <v>23527</v>
      </c>
      <c r="D99" s="156" t="s">
        <v>1121</v>
      </c>
      <c r="E99" s="157"/>
      <c r="F99" s="157">
        <v>306379.71000000002</v>
      </c>
      <c r="G99" s="157">
        <f t="shared" si="1"/>
        <v>26390441.920000002</v>
      </c>
      <c r="H99" s="158"/>
      <c r="I99" s="158"/>
    </row>
    <row r="100" spans="2:9" s="126" customFormat="1" ht="15.95" customHeight="1">
      <c r="B100" s="154">
        <v>44413</v>
      </c>
      <c r="C100" s="155">
        <v>23669</v>
      </c>
      <c r="D100" s="156" t="s">
        <v>1122</v>
      </c>
      <c r="E100" s="157"/>
      <c r="F100" s="157">
        <v>641492.72</v>
      </c>
      <c r="G100" s="157">
        <f t="shared" si="1"/>
        <v>25748949.200000003</v>
      </c>
      <c r="H100" s="158"/>
      <c r="I100" s="158"/>
    </row>
    <row r="101" spans="2:9" s="126" customFormat="1" ht="15.95" customHeight="1">
      <c r="B101" s="154">
        <v>44413</v>
      </c>
      <c r="C101" s="155">
        <v>23786</v>
      </c>
      <c r="D101" s="156" t="s">
        <v>1123</v>
      </c>
      <c r="E101" s="157"/>
      <c r="F101" s="157">
        <v>9408121.2200000007</v>
      </c>
      <c r="G101" s="157">
        <f t="shared" si="1"/>
        <v>16340827.980000002</v>
      </c>
      <c r="H101" s="158"/>
      <c r="I101" s="158"/>
    </row>
    <row r="102" spans="2:9" s="126" customFormat="1" ht="15.95" customHeight="1">
      <c r="B102" s="154">
        <v>44413</v>
      </c>
      <c r="C102" s="159">
        <v>24051373596</v>
      </c>
      <c r="D102" s="156" t="s">
        <v>1106</v>
      </c>
      <c r="E102" s="157"/>
      <c r="F102" s="157">
        <v>1200000</v>
      </c>
      <c r="G102" s="157">
        <f t="shared" si="1"/>
        <v>15140827.980000002</v>
      </c>
      <c r="H102" s="158"/>
      <c r="I102" s="158"/>
    </row>
    <row r="103" spans="2:9" s="126" customFormat="1" ht="15.95" customHeight="1">
      <c r="B103" s="154">
        <v>44414</v>
      </c>
      <c r="C103" s="155">
        <v>463224051</v>
      </c>
      <c r="D103" s="156" t="s">
        <v>1064</v>
      </c>
      <c r="E103" s="157">
        <v>1091577</v>
      </c>
      <c r="F103" s="157"/>
      <c r="G103" s="157">
        <f t="shared" si="1"/>
        <v>16232404.980000002</v>
      </c>
      <c r="H103" s="158"/>
      <c r="I103" s="158"/>
    </row>
    <row r="104" spans="2:9" s="126" customFormat="1" ht="15.95" customHeight="1">
      <c r="B104" s="154">
        <v>44414</v>
      </c>
      <c r="C104" s="155">
        <v>19617171</v>
      </c>
      <c r="D104" s="156" t="s">
        <v>1064</v>
      </c>
      <c r="E104" s="157">
        <v>5000000</v>
      </c>
      <c r="F104" s="157"/>
      <c r="G104" s="157">
        <f t="shared" si="1"/>
        <v>21232404.980000004</v>
      </c>
      <c r="H104" s="158"/>
      <c r="I104" s="158"/>
    </row>
    <row r="105" spans="2:9" s="126" customFormat="1" ht="15.95" customHeight="1">
      <c r="B105" s="154">
        <v>44414</v>
      </c>
      <c r="C105" s="155">
        <v>23915</v>
      </c>
      <c r="D105" s="156" t="s">
        <v>1124</v>
      </c>
      <c r="E105" s="157"/>
      <c r="F105" s="157">
        <v>6420</v>
      </c>
      <c r="G105" s="157">
        <f t="shared" si="1"/>
        <v>21225984.980000004</v>
      </c>
      <c r="H105" s="158"/>
      <c r="I105" s="158"/>
    </row>
    <row r="106" spans="2:9" s="126" customFormat="1" ht="15.95" customHeight="1">
      <c r="B106" s="154">
        <v>44414</v>
      </c>
      <c r="C106" s="155">
        <v>23688</v>
      </c>
      <c r="D106" s="156" t="s">
        <v>1124</v>
      </c>
      <c r="E106" s="157"/>
      <c r="F106" s="157">
        <v>8113.39</v>
      </c>
      <c r="G106" s="157">
        <f t="shared" si="1"/>
        <v>21217871.590000004</v>
      </c>
      <c r="H106" s="158"/>
      <c r="I106" s="158"/>
    </row>
    <row r="107" spans="2:9" s="126" customFormat="1" ht="15.95" customHeight="1">
      <c r="B107" s="154">
        <v>44414</v>
      </c>
      <c r="C107" s="159">
        <v>23418</v>
      </c>
      <c r="D107" s="156" t="s">
        <v>1125</v>
      </c>
      <c r="E107" s="157"/>
      <c r="F107" s="157">
        <v>25125.37</v>
      </c>
      <c r="G107" s="157">
        <f t="shared" si="1"/>
        <v>21192746.220000003</v>
      </c>
      <c r="H107" s="158"/>
      <c r="I107" s="158"/>
    </row>
    <row r="108" spans="2:9" s="126" customFormat="1" ht="15.95" customHeight="1">
      <c r="B108" s="154">
        <v>44414</v>
      </c>
      <c r="C108" s="159">
        <v>23420</v>
      </c>
      <c r="D108" s="156" t="s">
        <v>1126</v>
      </c>
      <c r="E108" s="157"/>
      <c r="F108" s="157">
        <v>50924.37</v>
      </c>
      <c r="G108" s="157">
        <f t="shared" si="1"/>
        <v>21141821.850000001</v>
      </c>
      <c r="H108" s="158"/>
      <c r="I108" s="158"/>
    </row>
    <row r="109" spans="2:9" s="126" customFormat="1" ht="15.95" customHeight="1">
      <c r="B109" s="154">
        <v>44414</v>
      </c>
      <c r="C109" s="159">
        <v>23313</v>
      </c>
      <c r="D109" s="156" t="s">
        <v>1127</v>
      </c>
      <c r="E109" s="157"/>
      <c r="F109" s="157">
        <v>75376.100000000006</v>
      </c>
      <c r="G109" s="157">
        <f t="shared" si="1"/>
        <v>21066445.75</v>
      </c>
      <c r="H109" s="158"/>
      <c r="I109" s="158"/>
    </row>
    <row r="110" spans="2:9" s="126" customFormat="1" ht="15.95" customHeight="1">
      <c r="B110" s="154">
        <v>44414</v>
      </c>
      <c r="C110" s="159">
        <v>23310</v>
      </c>
      <c r="D110" s="156" t="s">
        <v>1128</v>
      </c>
      <c r="E110" s="157"/>
      <c r="F110" s="157">
        <v>105575.25</v>
      </c>
      <c r="G110" s="157">
        <f t="shared" si="1"/>
        <v>20960870.5</v>
      </c>
      <c r="H110" s="158"/>
      <c r="I110" s="158"/>
    </row>
    <row r="111" spans="2:9" s="126" customFormat="1" ht="15.95" customHeight="1">
      <c r="B111" s="154">
        <v>44414</v>
      </c>
      <c r="C111" s="159">
        <v>23661</v>
      </c>
      <c r="D111" s="156" t="s">
        <v>1129</v>
      </c>
      <c r="E111" s="157"/>
      <c r="F111" s="157">
        <v>109300.38</v>
      </c>
      <c r="G111" s="157">
        <f t="shared" si="1"/>
        <v>20851570.120000001</v>
      </c>
      <c r="H111" s="158"/>
      <c r="I111" s="158"/>
    </row>
    <row r="112" spans="2:9" s="126" customFormat="1" ht="15.95" customHeight="1">
      <c r="B112" s="154">
        <v>44414</v>
      </c>
      <c r="C112" s="159">
        <v>23297</v>
      </c>
      <c r="D112" s="156" t="s">
        <v>1130</v>
      </c>
      <c r="E112" s="157"/>
      <c r="F112" s="157">
        <v>125651.25</v>
      </c>
      <c r="G112" s="157">
        <f t="shared" si="1"/>
        <v>20725918.870000001</v>
      </c>
      <c r="H112" s="158"/>
      <c r="I112" s="158"/>
    </row>
    <row r="113" spans="2:9" s="126" customFormat="1" ht="15.95" customHeight="1">
      <c r="B113" s="154">
        <v>44414</v>
      </c>
      <c r="C113" s="155">
        <v>23681</v>
      </c>
      <c r="D113" s="156" t="s">
        <v>1131</v>
      </c>
      <c r="E113" s="157"/>
      <c r="F113" s="157">
        <v>462204</v>
      </c>
      <c r="G113" s="157">
        <f t="shared" si="1"/>
        <v>20263714.870000001</v>
      </c>
      <c r="H113" s="158"/>
      <c r="I113" s="158"/>
    </row>
    <row r="114" spans="2:9" s="126" customFormat="1" ht="15.95" customHeight="1">
      <c r="B114" s="154">
        <v>44414</v>
      </c>
      <c r="C114" s="155">
        <v>23934</v>
      </c>
      <c r="D114" s="156" t="s">
        <v>1131</v>
      </c>
      <c r="E114" s="157"/>
      <c r="F114" s="157">
        <v>462204</v>
      </c>
      <c r="G114" s="157">
        <f t="shared" si="1"/>
        <v>19801510.870000001</v>
      </c>
      <c r="H114" s="158"/>
      <c r="I114" s="158"/>
    </row>
    <row r="115" spans="2:9" s="126" customFormat="1" ht="15.95" customHeight="1">
      <c r="B115" s="154">
        <v>44414</v>
      </c>
      <c r="C115" s="155">
        <v>23763</v>
      </c>
      <c r="D115" s="156" t="s">
        <v>1132</v>
      </c>
      <c r="E115" s="157"/>
      <c r="F115" s="157">
        <v>665000</v>
      </c>
      <c r="G115" s="157">
        <f t="shared" si="1"/>
        <v>19136510.870000001</v>
      </c>
      <c r="H115" s="158"/>
      <c r="I115" s="158"/>
    </row>
    <row r="116" spans="2:9" s="126" customFormat="1" ht="15.95" customHeight="1">
      <c r="B116" s="154">
        <v>44414</v>
      </c>
      <c r="C116" s="155">
        <v>24057583270</v>
      </c>
      <c r="D116" s="156" t="s">
        <v>1106</v>
      </c>
      <c r="E116" s="157"/>
      <c r="F116" s="157">
        <v>3000000</v>
      </c>
      <c r="G116" s="157">
        <f t="shared" si="1"/>
        <v>16136510.870000001</v>
      </c>
      <c r="H116" s="158"/>
      <c r="I116" s="158"/>
    </row>
    <row r="117" spans="2:9" s="126" customFormat="1" ht="15.95" customHeight="1">
      <c r="B117" s="154">
        <v>44417</v>
      </c>
      <c r="C117" s="155">
        <v>463275775</v>
      </c>
      <c r="D117" s="156" t="s">
        <v>1064</v>
      </c>
      <c r="E117" s="157">
        <v>1137739</v>
      </c>
      <c r="F117" s="157"/>
      <c r="G117" s="157">
        <f t="shared" si="1"/>
        <v>17274249.870000001</v>
      </c>
      <c r="H117" s="158"/>
      <c r="I117" s="158"/>
    </row>
    <row r="118" spans="2:9" s="126" customFormat="1" ht="15.95" customHeight="1">
      <c r="B118" s="154">
        <v>44417</v>
      </c>
      <c r="C118" s="155">
        <v>19617172</v>
      </c>
      <c r="D118" s="156" t="s">
        <v>1064</v>
      </c>
      <c r="E118" s="157">
        <v>5000000</v>
      </c>
      <c r="F118" s="157"/>
      <c r="G118" s="157">
        <f t="shared" si="1"/>
        <v>22274249.870000001</v>
      </c>
      <c r="H118" s="158"/>
      <c r="I118" s="158"/>
    </row>
    <row r="119" spans="2:9" s="126" customFormat="1" ht="15.95" customHeight="1">
      <c r="B119" s="154">
        <v>44417</v>
      </c>
      <c r="C119" s="155">
        <v>23744</v>
      </c>
      <c r="D119" s="156" t="s">
        <v>1133</v>
      </c>
      <c r="E119" s="157"/>
      <c r="F119" s="157">
        <v>26631</v>
      </c>
      <c r="G119" s="157">
        <f t="shared" si="1"/>
        <v>22247618.870000001</v>
      </c>
      <c r="H119" s="158"/>
      <c r="I119" s="158"/>
    </row>
    <row r="120" spans="2:9" s="126" customFormat="1" ht="15.95" customHeight="1">
      <c r="B120" s="154">
        <v>44417</v>
      </c>
      <c r="C120" s="155">
        <v>23654</v>
      </c>
      <c r="D120" s="156" t="s">
        <v>1134</v>
      </c>
      <c r="E120" s="157"/>
      <c r="F120" s="157">
        <v>28682.36</v>
      </c>
      <c r="G120" s="157">
        <f t="shared" si="1"/>
        <v>22218936.510000002</v>
      </c>
      <c r="H120" s="158"/>
      <c r="I120" s="158"/>
    </row>
    <row r="121" spans="2:9" s="126" customFormat="1" ht="15.95" customHeight="1">
      <c r="B121" s="154">
        <v>44417</v>
      </c>
      <c r="C121" s="155">
        <v>23440</v>
      </c>
      <c r="D121" s="156" t="s">
        <v>1135</v>
      </c>
      <c r="E121" s="157"/>
      <c r="F121" s="157">
        <v>50510.69</v>
      </c>
      <c r="G121" s="157">
        <f t="shared" si="1"/>
        <v>22168425.82</v>
      </c>
      <c r="H121" s="158"/>
      <c r="I121" s="158"/>
    </row>
    <row r="122" spans="2:9" s="126" customFormat="1" ht="15.95" customHeight="1">
      <c r="B122" s="154">
        <v>44417</v>
      </c>
      <c r="C122" s="155">
        <v>23537</v>
      </c>
      <c r="D122" s="156" t="s">
        <v>1136</v>
      </c>
      <c r="E122" s="157"/>
      <c r="F122" s="157">
        <v>52177.35</v>
      </c>
      <c r="G122" s="157">
        <f t="shared" si="1"/>
        <v>22116248.469999999</v>
      </c>
      <c r="H122" s="158"/>
      <c r="I122" s="158"/>
    </row>
    <row r="123" spans="2:9" s="126" customFormat="1" ht="15.95" customHeight="1">
      <c r="B123" s="154">
        <v>44417</v>
      </c>
      <c r="C123" s="155">
        <v>23717</v>
      </c>
      <c r="D123" s="156" t="s">
        <v>1087</v>
      </c>
      <c r="E123" s="157"/>
      <c r="F123" s="157">
        <v>105846.12</v>
      </c>
      <c r="G123" s="157">
        <f t="shared" si="1"/>
        <v>22010402.349999998</v>
      </c>
      <c r="H123" s="158"/>
      <c r="I123" s="158"/>
    </row>
    <row r="124" spans="2:9" s="126" customFormat="1" ht="15.95" customHeight="1">
      <c r="B124" s="154">
        <v>44417</v>
      </c>
      <c r="C124" s="155">
        <v>23749</v>
      </c>
      <c r="D124" s="156" t="s">
        <v>1137</v>
      </c>
      <c r="E124" s="157"/>
      <c r="F124" s="157">
        <v>126000</v>
      </c>
      <c r="G124" s="157">
        <f t="shared" si="1"/>
        <v>21884402.349999998</v>
      </c>
      <c r="H124" s="158"/>
      <c r="I124" s="158"/>
    </row>
    <row r="125" spans="2:9" s="126" customFormat="1" ht="15.95" customHeight="1">
      <c r="B125" s="154">
        <v>44417</v>
      </c>
      <c r="C125" s="155">
        <v>23429</v>
      </c>
      <c r="D125" s="156" t="s">
        <v>1138</v>
      </c>
      <c r="E125" s="157"/>
      <c r="F125" s="157">
        <v>126056.35</v>
      </c>
      <c r="G125" s="157">
        <f t="shared" si="1"/>
        <v>21758345.999999996</v>
      </c>
      <c r="H125" s="158"/>
      <c r="I125" s="158"/>
    </row>
    <row r="126" spans="2:9" s="126" customFormat="1" ht="15.95" customHeight="1">
      <c r="B126" s="154">
        <v>44417</v>
      </c>
      <c r="C126" s="155">
        <v>23599</v>
      </c>
      <c r="D126" s="156" t="s">
        <v>1139</v>
      </c>
      <c r="E126" s="157"/>
      <c r="F126" s="157">
        <v>153009.31</v>
      </c>
      <c r="G126" s="157">
        <f t="shared" si="1"/>
        <v>21605336.689999998</v>
      </c>
      <c r="H126" s="158"/>
      <c r="I126" s="158"/>
    </row>
    <row r="127" spans="2:9" s="126" customFormat="1" ht="15.95" customHeight="1">
      <c r="B127" s="154">
        <v>44417</v>
      </c>
      <c r="C127" s="155">
        <v>23792</v>
      </c>
      <c r="D127" s="156" t="s">
        <v>1140</v>
      </c>
      <c r="E127" s="157"/>
      <c r="F127" s="157">
        <v>500000</v>
      </c>
      <c r="G127" s="157">
        <f t="shared" si="1"/>
        <v>21105336.689999998</v>
      </c>
      <c r="H127" s="158"/>
      <c r="I127" s="158"/>
    </row>
    <row r="128" spans="2:9" s="126" customFormat="1" ht="15.95" customHeight="1">
      <c r="B128" s="154">
        <v>44417</v>
      </c>
      <c r="C128" s="155">
        <v>23806</v>
      </c>
      <c r="D128" s="156" t="s">
        <v>1141</v>
      </c>
      <c r="E128" s="157"/>
      <c r="F128" s="157">
        <v>5073319.37</v>
      </c>
      <c r="G128" s="157">
        <f t="shared" si="1"/>
        <v>16032017.319999997</v>
      </c>
      <c r="H128" s="158"/>
      <c r="I128" s="158"/>
    </row>
    <row r="129" spans="2:9" s="126" customFormat="1" ht="15.95" customHeight="1">
      <c r="B129" s="154">
        <v>44419</v>
      </c>
      <c r="C129" s="155">
        <v>19617136</v>
      </c>
      <c r="D129" s="156" t="s">
        <v>1064</v>
      </c>
      <c r="E129" s="157">
        <v>10000000</v>
      </c>
      <c r="F129" s="157"/>
      <c r="G129" s="157">
        <f t="shared" si="1"/>
        <v>26032017.319999997</v>
      </c>
      <c r="H129" s="158"/>
      <c r="I129" s="158"/>
    </row>
    <row r="130" spans="2:9" s="126" customFormat="1" ht="15.95" customHeight="1">
      <c r="B130" s="154">
        <v>44419</v>
      </c>
      <c r="C130" s="155">
        <v>23694</v>
      </c>
      <c r="D130" s="156" t="s">
        <v>1142</v>
      </c>
      <c r="E130" s="157"/>
      <c r="F130" s="157">
        <v>13500</v>
      </c>
      <c r="G130" s="157">
        <f t="shared" si="1"/>
        <v>26018517.319999997</v>
      </c>
      <c r="H130" s="158"/>
      <c r="I130" s="158"/>
    </row>
    <row r="131" spans="2:9" s="126" customFormat="1" ht="15.95" customHeight="1">
      <c r="B131" s="154">
        <v>44419</v>
      </c>
      <c r="C131" s="155">
        <v>23726</v>
      </c>
      <c r="D131" s="156" t="s">
        <v>1143</v>
      </c>
      <c r="E131" s="157"/>
      <c r="F131" s="157">
        <v>18000</v>
      </c>
      <c r="G131" s="157">
        <f t="shared" si="1"/>
        <v>26000517.319999997</v>
      </c>
      <c r="H131" s="158"/>
      <c r="I131" s="158"/>
    </row>
    <row r="132" spans="2:9" s="126" customFormat="1" ht="15.95" customHeight="1">
      <c r="B132" s="154">
        <v>44419</v>
      </c>
      <c r="C132" s="155">
        <v>23727</v>
      </c>
      <c r="D132" s="156" t="s">
        <v>1143</v>
      </c>
      <c r="E132" s="157"/>
      <c r="F132" s="157">
        <v>18000</v>
      </c>
      <c r="G132" s="157">
        <f t="shared" si="1"/>
        <v>25982517.319999997</v>
      </c>
      <c r="H132" s="158"/>
      <c r="I132" s="158"/>
    </row>
    <row r="133" spans="2:9" s="126" customFormat="1" ht="15.95" customHeight="1">
      <c r="B133" s="154">
        <v>44419</v>
      </c>
      <c r="C133" s="155">
        <v>23728</v>
      </c>
      <c r="D133" s="156" t="s">
        <v>1143</v>
      </c>
      <c r="E133" s="157"/>
      <c r="F133" s="157">
        <v>18000</v>
      </c>
      <c r="G133" s="157">
        <f t="shared" si="1"/>
        <v>25964517.319999997</v>
      </c>
      <c r="H133" s="158"/>
      <c r="I133" s="158"/>
    </row>
    <row r="134" spans="2:9" s="126" customFormat="1" ht="15.95" customHeight="1">
      <c r="B134" s="154">
        <v>44419</v>
      </c>
      <c r="C134" s="155">
        <v>23733</v>
      </c>
      <c r="D134" s="156" t="s">
        <v>1144</v>
      </c>
      <c r="E134" s="157"/>
      <c r="F134" s="157">
        <v>18000</v>
      </c>
      <c r="G134" s="157">
        <f t="shared" si="1"/>
        <v>25946517.319999997</v>
      </c>
      <c r="H134" s="158"/>
      <c r="I134" s="158"/>
    </row>
    <row r="135" spans="2:9" s="126" customFormat="1" ht="15.95" customHeight="1">
      <c r="B135" s="154">
        <v>44419</v>
      </c>
      <c r="C135" s="155">
        <v>23738</v>
      </c>
      <c r="D135" s="156" t="s">
        <v>1145</v>
      </c>
      <c r="E135" s="157"/>
      <c r="F135" s="157">
        <v>18000</v>
      </c>
      <c r="G135" s="157">
        <f t="shared" si="1"/>
        <v>25928517.319999997</v>
      </c>
      <c r="H135" s="158"/>
      <c r="I135" s="158"/>
    </row>
    <row r="136" spans="2:9" s="126" customFormat="1" ht="15.95" customHeight="1">
      <c r="B136" s="154">
        <v>44419</v>
      </c>
      <c r="C136" s="155">
        <v>23739</v>
      </c>
      <c r="D136" s="156" t="s">
        <v>1145</v>
      </c>
      <c r="E136" s="157"/>
      <c r="F136" s="157">
        <v>18000</v>
      </c>
      <c r="G136" s="157">
        <f t="shared" si="1"/>
        <v>25910517.319999997</v>
      </c>
      <c r="H136" s="158"/>
      <c r="I136" s="158"/>
    </row>
    <row r="137" spans="2:9" s="126" customFormat="1" ht="15.95" customHeight="1">
      <c r="B137" s="154">
        <v>44419</v>
      </c>
      <c r="C137" s="155">
        <v>23742</v>
      </c>
      <c r="D137" s="156" t="s">
        <v>1144</v>
      </c>
      <c r="E137" s="157"/>
      <c r="F137" s="157">
        <v>18000</v>
      </c>
      <c r="G137" s="157">
        <f t="shared" si="1"/>
        <v>25892517.319999997</v>
      </c>
      <c r="H137" s="158"/>
      <c r="I137" s="158"/>
    </row>
    <row r="138" spans="2:9" s="126" customFormat="1" ht="15.95" customHeight="1">
      <c r="B138" s="154">
        <v>44419</v>
      </c>
      <c r="C138" s="155">
        <v>23746</v>
      </c>
      <c r="D138" s="156" t="s">
        <v>1146</v>
      </c>
      <c r="E138" s="157"/>
      <c r="F138" s="157">
        <v>18000</v>
      </c>
      <c r="G138" s="157">
        <f t="shared" si="1"/>
        <v>25874517.319999997</v>
      </c>
      <c r="H138" s="158"/>
      <c r="I138" s="158"/>
    </row>
    <row r="139" spans="2:9" s="126" customFormat="1" ht="15.95" customHeight="1">
      <c r="B139" s="154">
        <v>44419</v>
      </c>
      <c r="C139" s="155">
        <v>23695</v>
      </c>
      <c r="D139" s="156" t="s">
        <v>1147</v>
      </c>
      <c r="E139" s="157"/>
      <c r="F139" s="157">
        <v>27000</v>
      </c>
      <c r="G139" s="157">
        <f t="shared" si="1"/>
        <v>25847517.319999997</v>
      </c>
      <c r="H139" s="158"/>
      <c r="I139" s="158"/>
    </row>
    <row r="140" spans="2:9" s="126" customFormat="1" ht="15.95" customHeight="1">
      <c r="B140" s="154">
        <v>44419</v>
      </c>
      <c r="C140" s="155">
        <v>23705</v>
      </c>
      <c r="D140" s="156" t="s">
        <v>1148</v>
      </c>
      <c r="E140" s="157"/>
      <c r="F140" s="157">
        <v>27000</v>
      </c>
      <c r="G140" s="157">
        <f t="shared" si="1"/>
        <v>25820517.319999997</v>
      </c>
      <c r="H140" s="158"/>
      <c r="I140" s="158"/>
    </row>
    <row r="141" spans="2:9" s="126" customFormat="1" ht="15.95" customHeight="1">
      <c r="B141" s="154">
        <v>44419</v>
      </c>
      <c r="C141" s="155">
        <v>23732</v>
      </c>
      <c r="D141" s="156" t="s">
        <v>1149</v>
      </c>
      <c r="E141" s="157"/>
      <c r="F141" s="157">
        <v>27000</v>
      </c>
      <c r="G141" s="157">
        <f t="shared" si="1"/>
        <v>25793517.319999997</v>
      </c>
      <c r="H141" s="158"/>
      <c r="I141" s="158"/>
    </row>
    <row r="142" spans="2:9" s="126" customFormat="1" ht="15.95" customHeight="1">
      <c r="B142" s="154">
        <v>44419</v>
      </c>
      <c r="C142" s="155">
        <v>23734</v>
      </c>
      <c r="D142" s="156" t="s">
        <v>1149</v>
      </c>
      <c r="E142" s="157"/>
      <c r="F142" s="157">
        <v>27000</v>
      </c>
      <c r="G142" s="157">
        <f t="shared" si="1"/>
        <v>25766517.319999997</v>
      </c>
      <c r="H142" s="158"/>
      <c r="I142" s="158"/>
    </row>
    <row r="143" spans="2:9" s="126" customFormat="1" ht="15.95" customHeight="1">
      <c r="B143" s="154">
        <v>44419</v>
      </c>
      <c r="C143" s="155">
        <v>23737</v>
      </c>
      <c r="D143" s="156" t="s">
        <v>1150</v>
      </c>
      <c r="E143" s="157"/>
      <c r="F143" s="157">
        <v>27000</v>
      </c>
      <c r="G143" s="157">
        <f t="shared" si="1"/>
        <v>25739517.319999997</v>
      </c>
      <c r="H143" s="158"/>
      <c r="I143" s="158"/>
    </row>
    <row r="144" spans="2:9" s="126" customFormat="1" ht="15.95" customHeight="1">
      <c r="B144" s="154">
        <v>44419</v>
      </c>
      <c r="C144" s="155">
        <v>23712</v>
      </c>
      <c r="D144" s="156" t="s">
        <v>1151</v>
      </c>
      <c r="E144" s="157"/>
      <c r="F144" s="157">
        <v>33900</v>
      </c>
      <c r="G144" s="157">
        <f t="shared" si="1"/>
        <v>25705617.319999997</v>
      </c>
      <c r="H144" s="158"/>
      <c r="I144" s="158"/>
    </row>
    <row r="145" spans="2:9" s="126" customFormat="1" ht="15.95" customHeight="1">
      <c r="B145" s="154">
        <v>44419</v>
      </c>
      <c r="C145" s="155">
        <v>23713</v>
      </c>
      <c r="D145" s="156" t="s">
        <v>1151</v>
      </c>
      <c r="E145" s="157"/>
      <c r="F145" s="157">
        <v>33900</v>
      </c>
      <c r="G145" s="157">
        <f t="shared" si="1"/>
        <v>25671717.319999997</v>
      </c>
      <c r="H145" s="158"/>
      <c r="I145" s="158"/>
    </row>
    <row r="146" spans="2:9" s="126" customFormat="1" ht="15.95" customHeight="1">
      <c r="B146" s="154">
        <v>44419</v>
      </c>
      <c r="C146" s="155">
        <v>23775</v>
      </c>
      <c r="D146" s="156" t="s">
        <v>1152</v>
      </c>
      <c r="E146" s="157"/>
      <c r="F146" s="157">
        <v>45000</v>
      </c>
      <c r="G146" s="157">
        <f t="shared" ref="G146:G209" si="2">+G145+E146-F146</f>
        <v>25626717.319999997</v>
      </c>
      <c r="H146" s="158"/>
      <c r="I146" s="158"/>
    </row>
    <row r="147" spans="2:9" s="126" customFormat="1" ht="15.95" customHeight="1">
      <c r="B147" s="154">
        <v>44419</v>
      </c>
      <c r="C147" s="155">
        <v>23697</v>
      </c>
      <c r="D147" s="156" t="s">
        <v>1153</v>
      </c>
      <c r="E147" s="157"/>
      <c r="F147" s="157">
        <v>45200</v>
      </c>
      <c r="G147" s="157">
        <f t="shared" si="2"/>
        <v>25581517.319999997</v>
      </c>
      <c r="H147" s="158"/>
      <c r="I147" s="158"/>
    </row>
    <row r="148" spans="2:9" s="126" customFormat="1" ht="15.95" customHeight="1">
      <c r="B148" s="154">
        <v>44419</v>
      </c>
      <c r="C148" s="155">
        <v>23578</v>
      </c>
      <c r="D148" s="156" t="s">
        <v>1154</v>
      </c>
      <c r="E148" s="157"/>
      <c r="F148" s="157">
        <v>51344.02</v>
      </c>
      <c r="G148" s="157">
        <f t="shared" si="2"/>
        <v>25530173.299999997</v>
      </c>
      <c r="H148" s="158"/>
      <c r="I148" s="158"/>
    </row>
    <row r="149" spans="2:9" s="126" customFormat="1" ht="15.95" customHeight="1">
      <c r="B149" s="154">
        <v>44419</v>
      </c>
      <c r="C149" s="155">
        <v>23709</v>
      </c>
      <c r="D149" s="156" t="s">
        <v>1155</v>
      </c>
      <c r="E149" s="157"/>
      <c r="F149" s="157">
        <v>62672.67</v>
      </c>
      <c r="G149" s="157">
        <f t="shared" si="2"/>
        <v>25467500.629999995</v>
      </c>
      <c r="H149" s="158"/>
      <c r="I149" s="158"/>
    </row>
    <row r="150" spans="2:9" s="126" customFormat="1" ht="15.95" customHeight="1">
      <c r="B150" s="154">
        <v>44419</v>
      </c>
      <c r="C150" s="155">
        <v>23459</v>
      </c>
      <c r="D150" s="156" t="s">
        <v>1156</v>
      </c>
      <c r="E150" s="157"/>
      <c r="F150" s="157">
        <v>154465.56</v>
      </c>
      <c r="G150" s="157">
        <f t="shared" si="2"/>
        <v>25313035.069999997</v>
      </c>
      <c r="H150" s="158"/>
      <c r="I150" s="158"/>
    </row>
    <row r="151" spans="2:9" s="126" customFormat="1" ht="15.95" customHeight="1">
      <c r="B151" s="154">
        <v>44419</v>
      </c>
      <c r="C151" s="155">
        <v>23593</v>
      </c>
      <c r="D151" s="156" t="s">
        <v>1157</v>
      </c>
      <c r="E151" s="157"/>
      <c r="F151" s="157">
        <v>173959.55</v>
      </c>
      <c r="G151" s="157">
        <f t="shared" si="2"/>
        <v>25139075.519999996</v>
      </c>
      <c r="H151" s="158"/>
      <c r="I151" s="158"/>
    </row>
    <row r="152" spans="2:9" s="126" customFormat="1" ht="15.95" customHeight="1">
      <c r="B152" s="154">
        <v>44419</v>
      </c>
      <c r="C152" s="155">
        <v>23820</v>
      </c>
      <c r="D152" s="156" t="s">
        <v>1106</v>
      </c>
      <c r="E152" s="157"/>
      <c r="F152" s="157">
        <v>6000000</v>
      </c>
      <c r="G152" s="157">
        <f t="shared" si="2"/>
        <v>19139075.519999996</v>
      </c>
      <c r="H152" s="158"/>
      <c r="I152" s="158"/>
    </row>
    <row r="153" spans="2:9" s="126" customFormat="1" ht="15.95" customHeight="1">
      <c r="B153" s="154">
        <v>44419</v>
      </c>
      <c r="C153" s="155">
        <v>23810</v>
      </c>
      <c r="D153" s="156" t="s">
        <v>1158</v>
      </c>
      <c r="E153" s="157"/>
      <c r="F153" s="157">
        <v>2724435.24</v>
      </c>
      <c r="G153" s="157">
        <f t="shared" si="2"/>
        <v>16414640.279999996</v>
      </c>
      <c r="H153" s="158"/>
      <c r="I153" s="158"/>
    </row>
    <row r="154" spans="2:9" s="126" customFormat="1" ht="15.95" customHeight="1">
      <c r="B154" s="154">
        <v>44420</v>
      </c>
      <c r="C154" s="155">
        <v>23591</v>
      </c>
      <c r="D154" s="156" t="s">
        <v>1159</v>
      </c>
      <c r="E154" s="157"/>
      <c r="F154" s="157">
        <v>174919.24</v>
      </c>
      <c r="G154" s="157">
        <f t="shared" si="2"/>
        <v>16239721.039999995</v>
      </c>
      <c r="H154" s="158"/>
      <c r="I154" s="158"/>
    </row>
    <row r="155" spans="2:9" s="126" customFormat="1" ht="15.95" customHeight="1">
      <c r="B155" s="154">
        <v>44421</v>
      </c>
      <c r="C155" s="155">
        <v>463251246</v>
      </c>
      <c r="D155" s="156" t="s">
        <v>1064</v>
      </c>
      <c r="E155" s="157">
        <v>540390</v>
      </c>
      <c r="F155" s="157"/>
      <c r="G155" s="157">
        <f t="shared" si="2"/>
        <v>16780111.039999995</v>
      </c>
      <c r="H155" s="158"/>
      <c r="I155" s="158"/>
    </row>
    <row r="156" spans="2:9" s="126" customFormat="1" ht="15.95" customHeight="1">
      <c r="B156" s="154">
        <v>44421</v>
      </c>
      <c r="C156" s="155">
        <v>463251245</v>
      </c>
      <c r="D156" s="156" t="s">
        <v>1064</v>
      </c>
      <c r="E156" s="157">
        <v>423945</v>
      </c>
      <c r="F156" s="157"/>
      <c r="G156" s="157">
        <f t="shared" si="2"/>
        <v>17204056.039999995</v>
      </c>
      <c r="H156" s="158"/>
      <c r="I156" s="158"/>
    </row>
    <row r="157" spans="2:9" s="126" customFormat="1" ht="15.95" customHeight="1">
      <c r="B157" s="154">
        <v>44421</v>
      </c>
      <c r="C157" s="155">
        <v>463251243</v>
      </c>
      <c r="D157" s="156" t="s">
        <v>1064</v>
      </c>
      <c r="E157" s="157">
        <v>1267300</v>
      </c>
      <c r="F157" s="157"/>
      <c r="G157" s="157">
        <f t="shared" si="2"/>
        <v>18471356.039999995</v>
      </c>
      <c r="H157" s="158"/>
      <c r="I157" s="158"/>
    </row>
    <row r="158" spans="2:9" s="126" customFormat="1" ht="15.95" customHeight="1">
      <c r="B158" s="154">
        <v>44421</v>
      </c>
      <c r="C158" s="155">
        <v>24101670332</v>
      </c>
      <c r="D158" s="156" t="s">
        <v>1064</v>
      </c>
      <c r="E158" s="157">
        <v>10000</v>
      </c>
      <c r="F158" s="157"/>
      <c r="G158" s="157">
        <f t="shared" si="2"/>
        <v>18481356.039999995</v>
      </c>
      <c r="H158" s="158"/>
      <c r="I158" s="158"/>
    </row>
    <row r="159" spans="2:9" s="126" customFormat="1" ht="15.95" customHeight="1">
      <c r="B159" s="154">
        <v>44421</v>
      </c>
      <c r="C159" s="155">
        <v>19617188</v>
      </c>
      <c r="D159" s="156" t="s">
        <v>1064</v>
      </c>
      <c r="E159" s="157">
        <v>6000000</v>
      </c>
      <c r="F159" s="157"/>
      <c r="G159" s="157">
        <f t="shared" si="2"/>
        <v>24481356.039999995</v>
      </c>
      <c r="H159" s="158"/>
      <c r="I159" s="158"/>
    </row>
    <row r="160" spans="2:9" s="126" customFormat="1" ht="15.95" customHeight="1">
      <c r="B160" s="154">
        <v>44421</v>
      </c>
      <c r="C160" s="155">
        <v>23723</v>
      </c>
      <c r="D160" s="156" t="s">
        <v>1146</v>
      </c>
      <c r="E160" s="157"/>
      <c r="F160" s="157">
        <v>18000</v>
      </c>
      <c r="G160" s="157">
        <f t="shared" si="2"/>
        <v>24463356.039999995</v>
      </c>
      <c r="H160" s="158"/>
      <c r="I160" s="158"/>
    </row>
    <row r="161" spans="2:9" s="126" customFormat="1" ht="15.95" customHeight="1">
      <c r="B161" s="154">
        <v>44421</v>
      </c>
      <c r="C161" s="155">
        <v>23725</v>
      </c>
      <c r="D161" s="156" t="s">
        <v>1143</v>
      </c>
      <c r="E161" s="157"/>
      <c r="F161" s="157">
        <v>18000</v>
      </c>
      <c r="G161" s="157">
        <f t="shared" si="2"/>
        <v>24445356.039999995</v>
      </c>
      <c r="H161" s="158"/>
      <c r="I161" s="158"/>
    </row>
    <row r="162" spans="2:9" s="126" customFormat="1" ht="15.95" customHeight="1">
      <c r="B162" s="154">
        <v>44421</v>
      </c>
      <c r="C162" s="155">
        <v>23690</v>
      </c>
      <c r="D162" s="156" t="s">
        <v>1160</v>
      </c>
      <c r="E162" s="157"/>
      <c r="F162" s="157">
        <v>22600</v>
      </c>
      <c r="G162" s="157">
        <f t="shared" si="2"/>
        <v>24422756.039999995</v>
      </c>
      <c r="H162" s="158"/>
      <c r="I162" s="158"/>
    </row>
    <row r="163" spans="2:9" s="126" customFormat="1" ht="15.95" customHeight="1">
      <c r="B163" s="154">
        <v>44421</v>
      </c>
      <c r="C163" s="155">
        <v>23692</v>
      </c>
      <c r="D163" s="156" t="s">
        <v>1161</v>
      </c>
      <c r="E163" s="157"/>
      <c r="F163" s="157">
        <v>27000</v>
      </c>
      <c r="G163" s="157">
        <f t="shared" si="2"/>
        <v>24395756.039999995</v>
      </c>
      <c r="H163" s="158"/>
      <c r="I163" s="158"/>
    </row>
    <row r="164" spans="2:9" s="126" customFormat="1" ht="15.95" customHeight="1">
      <c r="B164" s="154">
        <v>44421</v>
      </c>
      <c r="C164" s="155">
        <v>23693</v>
      </c>
      <c r="D164" s="156" t="s">
        <v>1162</v>
      </c>
      <c r="E164" s="157"/>
      <c r="F164" s="157">
        <v>27000</v>
      </c>
      <c r="G164" s="157">
        <f t="shared" si="2"/>
        <v>24368756.039999995</v>
      </c>
      <c r="H164" s="158"/>
      <c r="I164" s="158"/>
    </row>
    <row r="165" spans="2:9" s="126" customFormat="1" ht="15.95" customHeight="1">
      <c r="B165" s="154">
        <v>44421</v>
      </c>
      <c r="C165" s="155">
        <v>23696</v>
      </c>
      <c r="D165" s="156" t="s">
        <v>1163</v>
      </c>
      <c r="E165" s="157"/>
      <c r="F165" s="157">
        <v>33900</v>
      </c>
      <c r="G165" s="157">
        <f t="shared" si="2"/>
        <v>24334856.039999995</v>
      </c>
      <c r="H165" s="158"/>
      <c r="I165" s="158"/>
    </row>
    <row r="166" spans="2:9" s="126" customFormat="1" ht="15.95" customHeight="1">
      <c r="B166" s="154">
        <v>44421</v>
      </c>
      <c r="C166" s="155">
        <v>23707</v>
      </c>
      <c r="D166" s="156" t="s">
        <v>1164</v>
      </c>
      <c r="E166" s="157"/>
      <c r="F166" s="157">
        <v>33900</v>
      </c>
      <c r="G166" s="157">
        <f t="shared" si="2"/>
        <v>24300956.039999995</v>
      </c>
      <c r="H166" s="158"/>
      <c r="I166" s="158"/>
    </row>
    <row r="167" spans="2:9" s="126" customFormat="1" ht="15.95" customHeight="1">
      <c r="B167" s="154">
        <v>44421</v>
      </c>
      <c r="C167" s="155">
        <v>23708</v>
      </c>
      <c r="D167" s="156" t="s">
        <v>1165</v>
      </c>
      <c r="E167" s="157"/>
      <c r="F167" s="157">
        <v>33900</v>
      </c>
      <c r="G167" s="157">
        <f t="shared" si="2"/>
        <v>24267056.039999995</v>
      </c>
      <c r="H167" s="158"/>
      <c r="I167" s="158"/>
    </row>
    <row r="168" spans="2:9" s="126" customFormat="1" ht="15.95" customHeight="1">
      <c r="B168" s="154">
        <v>44421</v>
      </c>
      <c r="C168" s="155">
        <v>23710</v>
      </c>
      <c r="D168" s="156" t="s">
        <v>1151</v>
      </c>
      <c r="E168" s="157"/>
      <c r="F168" s="157">
        <v>33900</v>
      </c>
      <c r="G168" s="157">
        <f t="shared" si="2"/>
        <v>24233156.039999995</v>
      </c>
      <c r="H168" s="158"/>
      <c r="I168" s="158"/>
    </row>
    <row r="169" spans="2:9" s="126" customFormat="1" ht="15.95" customHeight="1">
      <c r="B169" s="154">
        <v>44421</v>
      </c>
      <c r="C169" s="155">
        <v>23711</v>
      </c>
      <c r="D169" s="156" t="s">
        <v>1151</v>
      </c>
      <c r="E169" s="157"/>
      <c r="F169" s="157">
        <v>33900</v>
      </c>
      <c r="G169" s="157">
        <f t="shared" si="2"/>
        <v>24199256.039999995</v>
      </c>
      <c r="H169" s="158"/>
      <c r="I169" s="158"/>
    </row>
    <row r="170" spans="2:9" s="126" customFormat="1" ht="15.95" customHeight="1">
      <c r="B170" s="154">
        <v>44421</v>
      </c>
      <c r="C170" s="155">
        <v>23729</v>
      </c>
      <c r="D170" s="156" t="s">
        <v>1166</v>
      </c>
      <c r="E170" s="157"/>
      <c r="F170" s="157">
        <v>56500</v>
      </c>
      <c r="G170" s="157">
        <f t="shared" si="2"/>
        <v>24142756.039999995</v>
      </c>
      <c r="H170" s="158"/>
      <c r="I170" s="158"/>
    </row>
    <row r="171" spans="2:9" s="126" customFormat="1" ht="15.95" customHeight="1">
      <c r="B171" s="154">
        <v>44421</v>
      </c>
      <c r="C171" s="155">
        <v>23776</v>
      </c>
      <c r="D171" s="156" t="s">
        <v>1167</v>
      </c>
      <c r="E171" s="157"/>
      <c r="F171" s="157">
        <v>79229.350000000006</v>
      </c>
      <c r="G171" s="157">
        <f t="shared" si="2"/>
        <v>24063526.689999994</v>
      </c>
      <c r="H171" s="158"/>
      <c r="I171" s="158"/>
    </row>
    <row r="172" spans="2:9" s="126" customFormat="1" ht="15.95" customHeight="1">
      <c r="B172" s="154">
        <v>44421</v>
      </c>
      <c r="C172" s="155">
        <v>23608</v>
      </c>
      <c r="D172" s="156" t="s">
        <v>1168</v>
      </c>
      <c r="E172" s="157"/>
      <c r="F172" s="157">
        <v>274000.82</v>
      </c>
      <c r="G172" s="157">
        <f t="shared" si="2"/>
        <v>23789525.869999994</v>
      </c>
      <c r="H172" s="158"/>
      <c r="I172" s="158"/>
    </row>
    <row r="173" spans="2:9" s="126" customFormat="1" ht="15.95" customHeight="1">
      <c r="B173" s="154">
        <v>44421</v>
      </c>
      <c r="C173" s="155">
        <v>23848</v>
      </c>
      <c r="D173" s="156" t="s">
        <v>1106</v>
      </c>
      <c r="E173" s="157"/>
      <c r="F173" s="157">
        <v>1500000</v>
      </c>
      <c r="G173" s="157">
        <f t="shared" si="2"/>
        <v>22289525.869999994</v>
      </c>
      <c r="H173" s="158"/>
      <c r="I173" s="158"/>
    </row>
    <row r="174" spans="2:9" s="126" customFormat="1" ht="15.95" customHeight="1">
      <c r="B174" s="154">
        <v>44421</v>
      </c>
      <c r="C174" s="155">
        <v>23831</v>
      </c>
      <c r="D174" s="156" t="s">
        <v>1106</v>
      </c>
      <c r="E174" s="157"/>
      <c r="F174" s="157">
        <v>2231635</v>
      </c>
      <c r="G174" s="157">
        <f t="shared" si="2"/>
        <v>20057890.869999994</v>
      </c>
      <c r="H174" s="158"/>
      <c r="I174" s="158"/>
    </row>
    <row r="175" spans="2:9" s="126" customFormat="1" ht="15.95" customHeight="1">
      <c r="B175" s="154">
        <v>44421</v>
      </c>
      <c r="C175" s="155">
        <v>24104060287</v>
      </c>
      <c r="D175" s="156" t="s">
        <v>1106</v>
      </c>
      <c r="E175" s="157"/>
      <c r="F175" s="157">
        <v>1200000</v>
      </c>
      <c r="G175" s="157">
        <f t="shared" si="2"/>
        <v>18857890.869999994</v>
      </c>
      <c r="H175" s="158"/>
      <c r="I175" s="158"/>
    </row>
    <row r="176" spans="2:9" s="126" customFormat="1" ht="15.95" customHeight="1">
      <c r="B176" s="154">
        <v>44421</v>
      </c>
      <c r="C176" s="155">
        <v>24101875712</v>
      </c>
      <c r="D176" s="156" t="s">
        <v>1106</v>
      </c>
      <c r="E176" s="157"/>
      <c r="F176" s="157">
        <v>3300000</v>
      </c>
      <c r="G176" s="157">
        <f t="shared" si="2"/>
        <v>15557890.869999994</v>
      </c>
      <c r="H176" s="158"/>
      <c r="I176" s="158"/>
    </row>
    <row r="177" spans="2:9" s="126" customFormat="1" ht="15.95" customHeight="1">
      <c r="B177" s="154">
        <v>44425</v>
      </c>
      <c r="C177" s="155">
        <v>455512898</v>
      </c>
      <c r="D177" s="156" t="s">
        <v>1064</v>
      </c>
      <c r="E177" s="157">
        <v>25800</v>
      </c>
      <c r="F177" s="157"/>
      <c r="G177" s="157">
        <f t="shared" si="2"/>
        <v>15583690.869999994</v>
      </c>
      <c r="H177" s="158"/>
      <c r="I177" s="158"/>
    </row>
    <row r="178" spans="2:9" s="126" customFormat="1" ht="15.95" customHeight="1">
      <c r="B178" s="154">
        <v>44425</v>
      </c>
      <c r="C178" s="155">
        <v>19617137</v>
      </c>
      <c r="D178" s="156" t="s">
        <v>1064</v>
      </c>
      <c r="E178" s="157">
        <v>10000000</v>
      </c>
      <c r="F178" s="157"/>
      <c r="G178" s="157">
        <f t="shared" si="2"/>
        <v>25583690.869999994</v>
      </c>
      <c r="H178" s="158"/>
      <c r="I178" s="158"/>
    </row>
    <row r="179" spans="2:9" s="126" customFormat="1" ht="15.95" customHeight="1">
      <c r="B179" s="154">
        <v>44425</v>
      </c>
      <c r="C179" s="155">
        <v>19617184</v>
      </c>
      <c r="D179" s="156" t="s">
        <v>1064</v>
      </c>
      <c r="E179" s="157">
        <v>1500000</v>
      </c>
      <c r="F179" s="157"/>
      <c r="G179" s="157">
        <f t="shared" si="2"/>
        <v>27083690.869999994</v>
      </c>
      <c r="H179" s="158"/>
      <c r="I179" s="158"/>
    </row>
    <row r="180" spans="2:9" s="126" customFormat="1" ht="15.95" customHeight="1">
      <c r="B180" s="154">
        <v>44425</v>
      </c>
      <c r="C180" s="155">
        <v>19617183</v>
      </c>
      <c r="D180" s="156" t="s">
        <v>1064</v>
      </c>
      <c r="E180" s="157">
        <v>2231635</v>
      </c>
      <c r="F180" s="157"/>
      <c r="G180" s="157">
        <f t="shared" si="2"/>
        <v>29315325.869999994</v>
      </c>
      <c r="H180" s="158"/>
      <c r="I180" s="158"/>
    </row>
    <row r="181" spans="2:9" s="126" customFormat="1" ht="15.95" customHeight="1">
      <c r="B181" s="154">
        <v>44425</v>
      </c>
      <c r="C181" s="155">
        <v>23722</v>
      </c>
      <c r="D181" s="156" t="s">
        <v>1146</v>
      </c>
      <c r="E181" s="157"/>
      <c r="F181" s="157">
        <v>18000</v>
      </c>
      <c r="G181" s="157">
        <f t="shared" si="2"/>
        <v>29297325.869999994</v>
      </c>
      <c r="H181" s="158"/>
      <c r="I181" s="158"/>
    </row>
    <row r="182" spans="2:9" s="126" customFormat="1" ht="15.95" customHeight="1">
      <c r="B182" s="154">
        <v>44425</v>
      </c>
      <c r="C182" s="155">
        <v>23509</v>
      </c>
      <c r="D182" s="156" t="s">
        <v>1169</v>
      </c>
      <c r="E182" s="157"/>
      <c r="F182" s="157">
        <v>22335.03</v>
      </c>
      <c r="G182" s="157">
        <f t="shared" si="2"/>
        <v>29274990.839999992</v>
      </c>
      <c r="H182" s="158"/>
      <c r="I182" s="158"/>
    </row>
    <row r="183" spans="2:9" s="126" customFormat="1" ht="15.95" customHeight="1">
      <c r="B183" s="154">
        <v>44425</v>
      </c>
      <c r="C183" s="155">
        <v>23768</v>
      </c>
      <c r="D183" s="156" t="s">
        <v>1170</v>
      </c>
      <c r="E183" s="157"/>
      <c r="F183" s="157">
        <v>31065.99</v>
      </c>
      <c r="G183" s="157">
        <f t="shared" si="2"/>
        <v>29243924.849999994</v>
      </c>
      <c r="H183" s="158"/>
      <c r="I183" s="158"/>
    </row>
    <row r="184" spans="2:9" s="126" customFormat="1" ht="15.95" customHeight="1">
      <c r="B184" s="154">
        <v>44425</v>
      </c>
      <c r="C184" s="155">
        <v>23691</v>
      </c>
      <c r="D184" s="156" t="s">
        <v>1171</v>
      </c>
      <c r="E184" s="157"/>
      <c r="F184" s="157">
        <v>33900</v>
      </c>
      <c r="G184" s="157">
        <f t="shared" si="2"/>
        <v>29210024.849999994</v>
      </c>
      <c r="H184" s="158"/>
      <c r="I184" s="158"/>
    </row>
    <row r="185" spans="2:9" s="126" customFormat="1" ht="15.95" customHeight="1">
      <c r="B185" s="154">
        <v>44425</v>
      </c>
      <c r="C185" s="155">
        <v>23587</v>
      </c>
      <c r="D185" s="156" t="s">
        <v>1172</v>
      </c>
      <c r="E185" s="157"/>
      <c r="F185" s="157">
        <v>54194.92</v>
      </c>
      <c r="G185" s="157">
        <f t="shared" si="2"/>
        <v>29155829.929999992</v>
      </c>
      <c r="H185" s="158"/>
      <c r="I185" s="158"/>
    </row>
    <row r="186" spans="2:9" s="126" customFormat="1" ht="15.95" customHeight="1">
      <c r="B186" s="154">
        <v>44425</v>
      </c>
      <c r="C186" s="155">
        <v>23590</v>
      </c>
      <c r="D186" s="156" t="s">
        <v>1173</v>
      </c>
      <c r="E186" s="157"/>
      <c r="F186" s="157">
        <v>61836.639999999999</v>
      </c>
      <c r="G186" s="157">
        <f t="shared" si="2"/>
        <v>29093993.289999992</v>
      </c>
      <c r="H186" s="158"/>
      <c r="I186" s="158"/>
    </row>
    <row r="187" spans="2:9" s="126" customFormat="1" ht="15.95" customHeight="1">
      <c r="B187" s="154">
        <v>44425</v>
      </c>
      <c r="C187" s="155">
        <v>23766</v>
      </c>
      <c r="D187" s="156" t="s">
        <v>1174</v>
      </c>
      <c r="E187" s="157"/>
      <c r="F187" s="157">
        <v>73167.5</v>
      </c>
      <c r="G187" s="157">
        <f t="shared" si="2"/>
        <v>29020825.789999992</v>
      </c>
      <c r="H187" s="158"/>
      <c r="I187" s="158"/>
    </row>
    <row r="188" spans="2:9" s="126" customFormat="1" ht="15.95" customHeight="1">
      <c r="B188" s="154">
        <v>44425</v>
      </c>
      <c r="C188" s="155">
        <v>23716</v>
      </c>
      <c r="D188" s="156" t="s">
        <v>1175</v>
      </c>
      <c r="E188" s="157"/>
      <c r="F188" s="157">
        <v>99842.64</v>
      </c>
      <c r="G188" s="157">
        <f t="shared" si="2"/>
        <v>28920983.149999991</v>
      </c>
      <c r="H188" s="158"/>
      <c r="I188" s="158"/>
    </row>
    <row r="189" spans="2:9" s="126" customFormat="1" ht="15.95" customHeight="1">
      <c r="B189" s="154">
        <v>44425</v>
      </c>
      <c r="C189" s="155">
        <v>23585</v>
      </c>
      <c r="D189" s="156" t="s">
        <v>1176</v>
      </c>
      <c r="E189" s="157"/>
      <c r="F189" s="157">
        <v>105554.57</v>
      </c>
      <c r="G189" s="157">
        <f t="shared" si="2"/>
        <v>28815428.579999991</v>
      </c>
      <c r="H189" s="158"/>
      <c r="I189" s="158"/>
    </row>
    <row r="190" spans="2:9" s="126" customFormat="1" ht="15.95" customHeight="1">
      <c r="B190" s="154">
        <v>44425</v>
      </c>
      <c r="C190" s="155">
        <v>23584</v>
      </c>
      <c r="D190" s="156" t="s">
        <v>1177</v>
      </c>
      <c r="E190" s="157"/>
      <c r="F190" s="157">
        <v>106792.03</v>
      </c>
      <c r="G190" s="157">
        <f t="shared" si="2"/>
        <v>28708636.54999999</v>
      </c>
      <c r="H190" s="158"/>
      <c r="I190" s="158"/>
    </row>
    <row r="191" spans="2:9" s="126" customFormat="1" ht="15.95" customHeight="1">
      <c r="B191" s="154">
        <v>44425</v>
      </c>
      <c r="C191" s="155">
        <v>23615</v>
      </c>
      <c r="D191" s="156" t="s">
        <v>1178</v>
      </c>
      <c r="E191" s="157"/>
      <c r="F191" s="157">
        <v>106792.03</v>
      </c>
      <c r="G191" s="157">
        <f t="shared" si="2"/>
        <v>28601844.519999988</v>
      </c>
      <c r="H191" s="158"/>
      <c r="I191" s="158"/>
    </row>
    <row r="192" spans="2:9" s="126" customFormat="1" ht="15.95" customHeight="1">
      <c r="B192" s="154">
        <v>44425</v>
      </c>
      <c r="C192" s="155">
        <v>23718</v>
      </c>
      <c r="D192" s="156" t="s">
        <v>1087</v>
      </c>
      <c r="E192" s="157"/>
      <c r="F192" s="157">
        <v>117682.12</v>
      </c>
      <c r="G192" s="157">
        <f t="shared" si="2"/>
        <v>28484162.399999987</v>
      </c>
      <c r="H192" s="158"/>
      <c r="I192" s="158"/>
    </row>
    <row r="193" spans="2:9" s="126" customFormat="1" ht="15.95" customHeight="1">
      <c r="B193" s="154">
        <v>44425</v>
      </c>
      <c r="C193" s="155">
        <v>23469</v>
      </c>
      <c r="D193" s="156" t="s">
        <v>1179</v>
      </c>
      <c r="E193" s="157"/>
      <c r="F193" s="157">
        <v>128215.56</v>
      </c>
      <c r="G193" s="157">
        <f t="shared" si="2"/>
        <v>28355946.839999989</v>
      </c>
      <c r="H193" s="158"/>
      <c r="I193" s="158"/>
    </row>
    <row r="194" spans="2:9" s="126" customFormat="1" ht="15.95" customHeight="1">
      <c r="B194" s="154">
        <v>44425</v>
      </c>
      <c r="C194" s="155">
        <v>23630</v>
      </c>
      <c r="D194" s="156" t="s">
        <v>1180</v>
      </c>
      <c r="E194" s="157"/>
      <c r="F194" s="157">
        <v>145693.21</v>
      </c>
      <c r="G194" s="157">
        <f t="shared" si="2"/>
        <v>28210253.629999988</v>
      </c>
      <c r="H194" s="158"/>
      <c r="I194" s="158"/>
    </row>
    <row r="195" spans="2:9" s="126" customFormat="1" ht="15.95" customHeight="1">
      <c r="B195" s="154">
        <v>44425</v>
      </c>
      <c r="C195" s="155">
        <v>23554</v>
      </c>
      <c r="D195" s="156" t="s">
        <v>1181</v>
      </c>
      <c r="E195" s="157"/>
      <c r="F195" s="157">
        <v>147944.17000000001</v>
      </c>
      <c r="G195" s="157">
        <f t="shared" si="2"/>
        <v>28062309.459999986</v>
      </c>
      <c r="H195" s="158"/>
      <c r="I195" s="158"/>
    </row>
    <row r="196" spans="2:9" s="126" customFormat="1" ht="15.95" customHeight="1">
      <c r="B196" s="154">
        <v>44425</v>
      </c>
      <c r="C196" s="155">
        <v>23316</v>
      </c>
      <c r="D196" s="156" t="s">
        <v>1182</v>
      </c>
      <c r="E196" s="157"/>
      <c r="F196" s="157">
        <v>158331.85</v>
      </c>
      <c r="G196" s="157">
        <f t="shared" si="2"/>
        <v>27903977.609999985</v>
      </c>
      <c r="H196" s="158"/>
      <c r="I196" s="158"/>
    </row>
    <row r="197" spans="2:9" s="126" customFormat="1" ht="15.95" customHeight="1">
      <c r="B197" s="154">
        <v>44425</v>
      </c>
      <c r="C197" s="155">
        <v>23515</v>
      </c>
      <c r="D197" s="156" t="s">
        <v>1183</v>
      </c>
      <c r="E197" s="157"/>
      <c r="F197" s="157">
        <v>185688.73</v>
      </c>
      <c r="G197" s="157">
        <f t="shared" si="2"/>
        <v>27718288.879999984</v>
      </c>
      <c r="H197" s="158"/>
      <c r="I197" s="158"/>
    </row>
    <row r="198" spans="2:9" s="126" customFormat="1" ht="15.95" customHeight="1">
      <c r="B198" s="154">
        <v>44425</v>
      </c>
      <c r="C198" s="155">
        <v>23803</v>
      </c>
      <c r="D198" s="156" t="s">
        <v>1184</v>
      </c>
      <c r="E198" s="157"/>
      <c r="F198" s="157">
        <v>190000</v>
      </c>
      <c r="G198" s="157">
        <f t="shared" si="2"/>
        <v>27528288.879999984</v>
      </c>
      <c r="H198" s="158"/>
      <c r="I198" s="158"/>
    </row>
    <row r="199" spans="2:9" s="126" customFormat="1" ht="15.95" customHeight="1">
      <c r="B199" s="154">
        <v>44425</v>
      </c>
      <c r="C199" s="155">
        <v>23586</v>
      </c>
      <c r="D199" s="156" t="s">
        <v>1185</v>
      </c>
      <c r="E199" s="157"/>
      <c r="F199" s="157">
        <v>200940.24</v>
      </c>
      <c r="G199" s="157">
        <f t="shared" si="2"/>
        <v>27327348.639999986</v>
      </c>
      <c r="H199" s="158"/>
      <c r="I199" s="158"/>
    </row>
    <row r="200" spans="2:9" s="126" customFormat="1" ht="15.95" customHeight="1">
      <c r="B200" s="154">
        <v>44425</v>
      </c>
      <c r="C200" s="155">
        <v>23605</v>
      </c>
      <c r="D200" s="156" t="s">
        <v>1186</v>
      </c>
      <c r="E200" s="157"/>
      <c r="F200" s="157">
        <v>208224.52</v>
      </c>
      <c r="G200" s="157">
        <f t="shared" si="2"/>
        <v>27119124.119999986</v>
      </c>
      <c r="H200" s="158"/>
      <c r="I200" s="158"/>
    </row>
    <row r="201" spans="2:9" s="126" customFormat="1" ht="15.95" customHeight="1">
      <c r="B201" s="154">
        <v>44425</v>
      </c>
      <c r="C201" s="155">
        <v>23564</v>
      </c>
      <c r="D201" s="156" t="s">
        <v>1187</v>
      </c>
      <c r="E201" s="157"/>
      <c r="F201" s="157">
        <v>242839.59</v>
      </c>
      <c r="G201" s="157">
        <f t="shared" si="2"/>
        <v>26876284.529999986</v>
      </c>
      <c r="H201" s="158"/>
      <c r="I201" s="158"/>
    </row>
    <row r="202" spans="2:9" s="126" customFormat="1" ht="15.95" customHeight="1">
      <c r="B202" s="154">
        <v>44425</v>
      </c>
      <c r="C202" s="155">
        <v>23556</v>
      </c>
      <c r="D202" s="156" t="s">
        <v>1188</v>
      </c>
      <c r="E202" s="157"/>
      <c r="F202" s="157">
        <v>257859.77</v>
      </c>
      <c r="G202" s="157">
        <f t="shared" si="2"/>
        <v>26618424.759999987</v>
      </c>
      <c r="H202" s="158"/>
      <c r="I202" s="158"/>
    </row>
    <row r="203" spans="2:9" s="126" customFormat="1" ht="15.95" customHeight="1">
      <c r="B203" s="154">
        <v>44425</v>
      </c>
      <c r="C203" s="155">
        <v>23802</v>
      </c>
      <c r="D203" s="156" t="s">
        <v>1184</v>
      </c>
      <c r="E203" s="157"/>
      <c r="F203" s="157">
        <v>266000</v>
      </c>
      <c r="G203" s="157">
        <f t="shared" si="2"/>
        <v>26352424.759999987</v>
      </c>
      <c r="H203" s="158"/>
      <c r="I203" s="158"/>
    </row>
    <row r="204" spans="2:9" s="126" customFormat="1" ht="15.95" customHeight="1">
      <c r="B204" s="154">
        <v>44425</v>
      </c>
      <c r="C204" s="155">
        <v>23758</v>
      </c>
      <c r="D204" s="156" t="s">
        <v>1184</v>
      </c>
      <c r="E204" s="157"/>
      <c r="F204" s="157">
        <v>459147.18</v>
      </c>
      <c r="G204" s="157">
        <f t="shared" si="2"/>
        <v>25893277.579999987</v>
      </c>
      <c r="H204" s="158"/>
      <c r="I204" s="158"/>
    </row>
    <row r="205" spans="2:9" s="126" customFormat="1" ht="15.95" customHeight="1">
      <c r="B205" s="154">
        <v>44425</v>
      </c>
      <c r="C205" s="155">
        <v>23668</v>
      </c>
      <c r="D205" s="156" t="s">
        <v>1103</v>
      </c>
      <c r="E205" s="157"/>
      <c r="F205" s="157">
        <v>1368000</v>
      </c>
      <c r="G205" s="157">
        <f t="shared" si="2"/>
        <v>24525277.579999987</v>
      </c>
      <c r="H205" s="158"/>
      <c r="I205" s="158"/>
    </row>
    <row r="206" spans="2:9" s="126" customFormat="1" ht="15.95" customHeight="1">
      <c r="B206" s="154">
        <v>44425</v>
      </c>
      <c r="C206" s="155">
        <v>23817</v>
      </c>
      <c r="D206" s="156" t="s">
        <v>1189</v>
      </c>
      <c r="E206" s="157"/>
      <c r="F206" s="157">
        <v>1818300</v>
      </c>
      <c r="G206" s="157">
        <f t="shared" si="2"/>
        <v>22706977.579999987</v>
      </c>
      <c r="H206" s="158"/>
      <c r="I206" s="158"/>
    </row>
    <row r="207" spans="2:9" s="126" customFormat="1" ht="15.95" customHeight="1">
      <c r="B207" s="154">
        <v>44425</v>
      </c>
      <c r="C207" s="155">
        <v>23832</v>
      </c>
      <c r="D207" s="156" t="s">
        <v>1184</v>
      </c>
      <c r="E207" s="157"/>
      <c r="F207" s="157">
        <v>6697405</v>
      </c>
      <c r="G207" s="157">
        <f t="shared" si="2"/>
        <v>16009572.579999987</v>
      </c>
      <c r="H207" s="158"/>
      <c r="I207" s="158"/>
    </row>
    <row r="208" spans="2:9" s="126" customFormat="1" ht="15.95" customHeight="1">
      <c r="B208" s="154">
        <v>44427</v>
      </c>
      <c r="C208" s="155">
        <v>463248263</v>
      </c>
      <c r="D208" s="156" t="s">
        <v>1064</v>
      </c>
      <c r="E208" s="157">
        <v>229385</v>
      </c>
      <c r="F208" s="157"/>
      <c r="G208" s="157">
        <f t="shared" si="2"/>
        <v>16238957.579999987</v>
      </c>
      <c r="H208" s="158"/>
      <c r="I208" s="158"/>
    </row>
    <row r="209" spans="2:9" s="126" customFormat="1" ht="15.95" customHeight="1">
      <c r="B209" s="154">
        <v>44427</v>
      </c>
      <c r="C209" s="155">
        <v>463248262</v>
      </c>
      <c r="D209" s="156" t="s">
        <v>1064</v>
      </c>
      <c r="E209" s="157">
        <v>460573</v>
      </c>
      <c r="F209" s="157"/>
      <c r="G209" s="157">
        <f t="shared" si="2"/>
        <v>16699530.579999987</v>
      </c>
      <c r="H209" s="158"/>
      <c r="I209" s="158"/>
    </row>
    <row r="210" spans="2:9" s="126" customFormat="1" ht="15.95" customHeight="1">
      <c r="B210" s="154">
        <v>44427</v>
      </c>
      <c r="C210" s="155">
        <v>463248259</v>
      </c>
      <c r="D210" s="156" t="s">
        <v>1064</v>
      </c>
      <c r="E210" s="157">
        <v>739749</v>
      </c>
      <c r="F210" s="157"/>
      <c r="G210" s="157">
        <f t="shared" ref="G210:G273" si="3">+G209+E210-F210</f>
        <v>17439279.579999987</v>
      </c>
      <c r="H210" s="158"/>
      <c r="I210" s="158"/>
    </row>
    <row r="211" spans="2:9" s="126" customFormat="1" ht="15.95" customHeight="1">
      <c r="B211" s="154">
        <v>44427</v>
      </c>
      <c r="C211" s="155">
        <v>19617138</v>
      </c>
      <c r="D211" s="156" t="s">
        <v>1064</v>
      </c>
      <c r="E211" s="157">
        <v>10000000</v>
      </c>
      <c r="F211" s="157"/>
      <c r="G211" s="157">
        <f t="shared" si="3"/>
        <v>27439279.579999987</v>
      </c>
      <c r="H211" s="158"/>
      <c r="I211" s="158"/>
    </row>
    <row r="212" spans="2:9" s="126" customFormat="1" ht="15.95" customHeight="1">
      <c r="B212" s="154">
        <v>44427</v>
      </c>
      <c r="C212" s="155">
        <v>23359</v>
      </c>
      <c r="D212" s="156" t="s">
        <v>1190</v>
      </c>
      <c r="E212" s="157"/>
      <c r="F212" s="157">
        <v>27094.799999999999</v>
      </c>
      <c r="G212" s="157">
        <f t="shared" si="3"/>
        <v>27412184.779999986</v>
      </c>
      <c r="H212" s="158"/>
      <c r="I212" s="158"/>
    </row>
    <row r="213" spans="2:9" s="126" customFormat="1" ht="15.95" customHeight="1">
      <c r="B213" s="154">
        <v>44427</v>
      </c>
      <c r="C213" s="155">
        <v>23747</v>
      </c>
      <c r="D213" s="156" t="s">
        <v>1191</v>
      </c>
      <c r="E213" s="157"/>
      <c r="F213" s="157">
        <v>36000</v>
      </c>
      <c r="G213" s="157">
        <f t="shared" si="3"/>
        <v>27376184.779999986</v>
      </c>
      <c r="H213" s="158"/>
      <c r="I213" s="158"/>
    </row>
    <row r="214" spans="2:9" s="126" customFormat="1" ht="15.95" customHeight="1">
      <c r="B214" s="154">
        <v>44427</v>
      </c>
      <c r="C214" s="155">
        <v>23748</v>
      </c>
      <c r="D214" s="156" t="s">
        <v>1191</v>
      </c>
      <c r="E214" s="157"/>
      <c r="F214" s="157">
        <v>36000</v>
      </c>
      <c r="G214" s="157">
        <f t="shared" si="3"/>
        <v>27340184.779999986</v>
      </c>
      <c r="H214" s="158"/>
      <c r="I214" s="158"/>
    </row>
    <row r="215" spans="2:9" s="126" customFormat="1" ht="15.95" customHeight="1">
      <c r="B215" s="154">
        <v>44427</v>
      </c>
      <c r="C215" s="155">
        <v>23706</v>
      </c>
      <c r="D215" s="156" t="s">
        <v>1152</v>
      </c>
      <c r="E215" s="157"/>
      <c r="F215" s="157">
        <v>45000</v>
      </c>
      <c r="G215" s="157">
        <f t="shared" si="3"/>
        <v>27295184.779999986</v>
      </c>
      <c r="H215" s="158"/>
      <c r="I215" s="158"/>
    </row>
    <row r="216" spans="2:9" s="126" customFormat="1" ht="15.95" customHeight="1">
      <c r="B216" s="154">
        <v>44427</v>
      </c>
      <c r="C216" s="155">
        <v>23756</v>
      </c>
      <c r="D216" s="156" t="s">
        <v>1192</v>
      </c>
      <c r="E216" s="157"/>
      <c r="F216" s="157">
        <v>58685.97</v>
      </c>
      <c r="G216" s="157">
        <f t="shared" si="3"/>
        <v>27236498.809999987</v>
      </c>
      <c r="H216" s="158"/>
      <c r="I216" s="158"/>
    </row>
    <row r="217" spans="2:9" s="126" customFormat="1" ht="15.95" customHeight="1">
      <c r="B217" s="154">
        <v>44427</v>
      </c>
      <c r="C217" s="155">
        <v>23577</v>
      </c>
      <c r="D217" s="156" t="s">
        <v>1193</v>
      </c>
      <c r="E217" s="157"/>
      <c r="F217" s="157">
        <v>58844.02</v>
      </c>
      <c r="G217" s="157">
        <f t="shared" si="3"/>
        <v>27177654.789999988</v>
      </c>
      <c r="H217" s="158"/>
      <c r="I217" s="158"/>
    </row>
    <row r="218" spans="2:9" s="126" customFormat="1" ht="15.95" customHeight="1">
      <c r="B218" s="154">
        <v>44427</v>
      </c>
      <c r="C218" s="155">
        <v>23751</v>
      </c>
      <c r="D218" s="156" t="s">
        <v>1194</v>
      </c>
      <c r="E218" s="157"/>
      <c r="F218" s="157">
        <v>64133.89</v>
      </c>
      <c r="G218" s="157">
        <f t="shared" si="3"/>
        <v>27113520.899999987</v>
      </c>
      <c r="H218" s="158"/>
      <c r="I218" s="158"/>
    </row>
    <row r="219" spans="2:9" s="126" customFormat="1" ht="15.95" customHeight="1">
      <c r="B219" s="154">
        <v>44427</v>
      </c>
      <c r="C219" s="155">
        <v>23214</v>
      </c>
      <c r="D219" s="156" t="s">
        <v>1195</v>
      </c>
      <c r="E219" s="157"/>
      <c r="F219" s="157">
        <v>69711</v>
      </c>
      <c r="G219" s="157">
        <f t="shared" si="3"/>
        <v>27043809.899999987</v>
      </c>
      <c r="H219" s="158"/>
      <c r="I219" s="158"/>
    </row>
    <row r="220" spans="2:9" s="126" customFormat="1" ht="15.95" customHeight="1">
      <c r="B220" s="154">
        <v>44427</v>
      </c>
      <c r="C220" s="155">
        <v>23790</v>
      </c>
      <c r="D220" s="156" t="s">
        <v>1196</v>
      </c>
      <c r="E220" s="157"/>
      <c r="F220" s="157">
        <v>76245.88</v>
      </c>
      <c r="G220" s="157">
        <f t="shared" si="3"/>
        <v>26967564.019999988</v>
      </c>
      <c r="H220" s="158"/>
      <c r="I220" s="158"/>
    </row>
    <row r="221" spans="2:9" s="126" customFormat="1" ht="15.95" customHeight="1">
      <c r="B221" s="154">
        <v>44427</v>
      </c>
      <c r="C221" s="155">
        <v>23862</v>
      </c>
      <c r="D221" s="156" t="s">
        <v>1197</v>
      </c>
      <c r="E221" s="157"/>
      <c r="F221" s="157">
        <v>90874.11</v>
      </c>
      <c r="G221" s="157">
        <f t="shared" si="3"/>
        <v>26876689.909999989</v>
      </c>
      <c r="H221" s="158"/>
      <c r="I221" s="158"/>
    </row>
    <row r="222" spans="2:9" s="126" customFormat="1" ht="15.95" customHeight="1">
      <c r="B222" s="154">
        <v>44427</v>
      </c>
      <c r="C222" s="155">
        <v>23376</v>
      </c>
      <c r="D222" s="156" t="s">
        <v>1198</v>
      </c>
      <c r="E222" s="157"/>
      <c r="F222" s="157">
        <v>122486.16</v>
      </c>
      <c r="G222" s="157">
        <f t="shared" si="3"/>
        <v>26754203.749999989</v>
      </c>
      <c r="H222" s="158"/>
      <c r="I222" s="158"/>
    </row>
    <row r="223" spans="2:9" s="126" customFormat="1" ht="15.95" customHeight="1">
      <c r="B223" s="154">
        <v>44427</v>
      </c>
      <c r="C223" s="155">
        <v>23760</v>
      </c>
      <c r="D223" s="156" t="s">
        <v>1199</v>
      </c>
      <c r="E223" s="157"/>
      <c r="F223" s="157">
        <v>133899.75</v>
      </c>
      <c r="G223" s="157">
        <f t="shared" si="3"/>
        <v>26620303.999999989</v>
      </c>
      <c r="H223" s="158"/>
      <c r="I223" s="158"/>
    </row>
    <row r="224" spans="2:9" s="126" customFormat="1" ht="15.95" customHeight="1">
      <c r="B224" s="154">
        <v>44427</v>
      </c>
      <c r="C224" s="155">
        <v>23493</v>
      </c>
      <c r="D224" s="156" t="s">
        <v>1200</v>
      </c>
      <c r="E224" s="157"/>
      <c r="F224" s="157">
        <v>152615.99</v>
      </c>
      <c r="G224" s="157">
        <f t="shared" si="3"/>
        <v>26467688.00999999</v>
      </c>
      <c r="H224" s="158"/>
      <c r="I224" s="158"/>
    </row>
    <row r="225" spans="2:9" s="126" customFormat="1" ht="15.95" customHeight="1">
      <c r="B225" s="154">
        <v>44427</v>
      </c>
      <c r="C225" s="155">
        <v>23555</v>
      </c>
      <c r="D225" s="156" t="s">
        <v>1201</v>
      </c>
      <c r="E225" s="157"/>
      <c r="F225" s="157">
        <v>183714.04</v>
      </c>
      <c r="G225" s="157">
        <f t="shared" si="3"/>
        <v>26283973.969999991</v>
      </c>
      <c r="H225" s="158"/>
      <c r="I225" s="158"/>
    </row>
    <row r="226" spans="2:9" s="126" customFormat="1" ht="15.95" customHeight="1">
      <c r="B226" s="154">
        <v>44427</v>
      </c>
      <c r="C226" s="155">
        <v>23602</v>
      </c>
      <c r="D226" s="156" t="s">
        <v>1202</v>
      </c>
      <c r="E226" s="157"/>
      <c r="F226" s="157">
        <v>194187.82</v>
      </c>
      <c r="G226" s="157">
        <f t="shared" si="3"/>
        <v>26089786.149999991</v>
      </c>
      <c r="H226" s="158"/>
      <c r="I226" s="158"/>
    </row>
    <row r="227" spans="2:9" s="126" customFormat="1" ht="15.95" customHeight="1">
      <c r="B227" s="154">
        <v>44427</v>
      </c>
      <c r="C227" s="155">
        <v>23866</v>
      </c>
      <c r="D227" s="156" t="s">
        <v>1203</v>
      </c>
      <c r="E227" s="157"/>
      <c r="F227" s="157">
        <v>1041012.5</v>
      </c>
      <c r="G227" s="157">
        <f t="shared" si="3"/>
        <v>25048773.649999991</v>
      </c>
      <c r="H227" s="158"/>
      <c r="I227" s="158"/>
    </row>
    <row r="228" spans="2:9" s="126" customFormat="1" ht="15.95" customHeight="1">
      <c r="B228" s="154">
        <v>44427</v>
      </c>
      <c r="C228" s="155">
        <v>23870</v>
      </c>
      <c r="D228" s="156" t="s">
        <v>1106</v>
      </c>
      <c r="E228" s="157"/>
      <c r="F228" s="157">
        <v>1429707</v>
      </c>
      <c r="G228" s="157">
        <f t="shared" si="3"/>
        <v>23619066.649999991</v>
      </c>
      <c r="H228" s="158"/>
      <c r="I228" s="158"/>
    </row>
    <row r="229" spans="2:9" s="126" customFormat="1" ht="15.95" customHeight="1">
      <c r="B229" s="154">
        <v>44427</v>
      </c>
      <c r="C229" s="155">
        <v>23847</v>
      </c>
      <c r="D229" s="156" t="s">
        <v>1204</v>
      </c>
      <c r="E229" s="157"/>
      <c r="F229" s="157">
        <v>4423819.4000000004</v>
      </c>
      <c r="G229" s="157">
        <f t="shared" si="3"/>
        <v>19195247.249999993</v>
      </c>
      <c r="H229" s="158"/>
      <c r="I229" s="158"/>
    </row>
    <row r="230" spans="2:9" s="126" customFormat="1" ht="15.95" customHeight="1">
      <c r="B230" s="154">
        <v>44427</v>
      </c>
      <c r="C230" s="155">
        <v>23850</v>
      </c>
      <c r="D230" s="156" t="s">
        <v>1158</v>
      </c>
      <c r="E230" s="157"/>
      <c r="F230" s="157">
        <v>166724.01</v>
      </c>
      <c r="G230" s="157">
        <f t="shared" si="3"/>
        <v>19028523.239999991</v>
      </c>
      <c r="H230" s="158"/>
      <c r="I230" s="158"/>
    </row>
    <row r="231" spans="2:9" s="126" customFormat="1" ht="15.95" customHeight="1">
      <c r="B231" s="154">
        <v>44427</v>
      </c>
      <c r="C231" s="155">
        <v>23851</v>
      </c>
      <c r="D231" s="156" t="s">
        <v>1158</v>
      </c>
      <c r="E231" s="157"/>
      <c r="F231" s="157">
        <v>2651888.2000000002</v>
      </c>
      <c r="G231" s="157">
        <f t="shared" si="3"/>
        <v>16376635.039999992</v>
      </c>
      <c r="H231" s="158"/>
      <c r="I231" s="158"/>
    </row>
    <row r="232" spans="2:9" s="126" customFormat="1" ht="15.95" customHeight="1">
      <c r="B232" s="154">
        <v>44427</v>
      </c>
      <c r="C232" s="155">
        <v>24141688117</v>
      </c>
      <c r="D232" s="156" t="s">
        <v>1106</v>
      </c>
      <c r="E232" s="157"/>
      <c r="F232" s="157">
        <v>600000</v>
      </c>
      <c r="G232" s="157">
        <f t="shared" si="3"/>
        <v>15776635.039999992</v>
      </c>
      <c r="H232" s="158"/>
      <c r="I232" s="158"/>
    </row>
    <row r="233" spans="2:9" s="126" customFormat="1" ht="15.95" customHeight="1">
      <c r="B233" s="154">
        <v>44428</v>
      </c>
      <c r="C233" s="155">
        <v>19617148</v>
      </c>
      <c r="D233" s="156" t="s">
        <v>1064</v>
      </c>
      <c r="E233" s="157">
        <v>10000000</v>
      </c>
      <c r="F233" s="157"/>
      <c r="G233" s="157">
        <f t="shared" si="3"/>
        <v>25776635.039999992</v>
      </c>
      <c r="H233" s="158"/>
      <c r="I233" s="158"/>
    </row>
    <row r="234" spans="2:9" s="126" customFormat="1" ht="15.95" customHeight="1">
      <c r="B234" s="154">
        <v>44428</v>
      </c>
      <c r="C234" s="155">
        <v>19617139</v>
      </c>
      <c r="D234" s="156" t="s">
        <v>1064</v>
      </c>
      <c r="E234" s="157">
        <v>10000000</v>
      </c>
      <c r="F234" s="157"/>
      <c r="G234" s="157">
        <f t="shared" si="3"/>
        <v>35776635.039999992</v>
      </c>
      <c r="H234" s="158"/>
      <c r="I234" s="158"/>
    </row>
    <row r="235" spans="2:9" s="126" customFormat="1" ht="15.95" customHeight="1">
      <c r="B235" s="154">
        <v>44428</v>
      </c>
      <c r="C235" s="155">
        <v>23600</v>
      </c>
      <c r="D235" s="156" t="s">
        <v>1205</v>
      </c>
      <c r="E235" s="157"/>
      <c r="F235" s="157">
        <v>24422.01</v>
      </c>
      <c r="G235" s="157">
        <f t="shared" si="3"/>
        <v>35752213.029999994</v>
      </c>
      <c r="H235" s="158"/>
      <c r="I235" s="158"/>
    </row>
    <row r="236" spans="2:9" s="126" customFormat="1" ht="15.95" customHeight="1">
      <c r="B236" s="154">
        <v>44428</v>
      </c>
      <c r="C236" s="155">
        <v>23796</v>
      </c>
      <c r="D236" s="156" t="s">
        <v>1206</v>
      </c>
      <c r="E236" s="157"/>
      <c r="F236" s="157">
        <v>31536.69</v>
      </c>
      <c r="G236" s="157">
        <f t="shared" si="3"/>
        <v>35720676.339999996</v>
      </c>
      <c r="H236" s="158"/>
      <c r="I236" s="158"/>
    </row>
    <row r="237" spans="2:9" s="126" customFormat="1" ht="15.95" customHeight="1">
      <c r="B237" s="154">
        <v>44428</v>
      </c>
      <c r="C237" s="155">
        <v>23798</v>
      </c>
      <c r="D237" s="156" t="s">
        <v>1207</v>
      </c>
      <c r="E237" s="157"/>
      <c r="F237" s="157">
        <v>32319.8</v>
      </c>
      <c r="G237" s="157">
        <f t="shared" si="3"/>
        <v>35688356.539999999</v>
      </c>
      <c r="H237" s="158"/>
      <c r="I237" s="158"/>
    </row>
    <row r="238" spans="2:9" s="126" customFormat="1" ht="15.95" customHeight="1">
      <c r="B238" s="154">
        <v>44428</v>
      </c>
      <c r="C238" s="155">
        <v>23461</v>
      </c>
      <c r="D238" s="156" t="s">
        <v>1208</v>
      </c>
      <c r="E238" s="157"/>
      <c r="F238" s="157">
        <v>38844.019999999997</v>
      </c>
      <c r="G238" s="157">
        <f t="shared" si="3"/>
        <v>35649512.519999996</v>
      </c>
      <c r="H238" s="158"/>
      <c r="I238" s="158"/>
    </row>
    <row r="239" spans="2:9" s="126" customFormat="1" ht="15.95" customHeight="1">
      <c r="B239" s="154">
        <v>44428</v>
      </c>
      <c r="C239" s="155">
        <v>23801</v>
      </c>
      <c r="D239" s="156" t="s">
        <v>1209</v>
      </c>
      <c r="E239" s="157"/>
      <c r="F239" s="157">
        <v>42177.35</v>
      </c>
      <c r="G239" s="157">
        <f t="shared" si="3"/>
        <v>35607335.169999994</v>
      </c>
      <c r="H239" s="158"/>
      <c r="I239" s="158"/>
    </row>
    <row r="240" spans="2:9" s="126" customFormat="1" ht="15.95" customHeight="1">
      <c r="B240" s="154">
        <v>44428</v>
      </c>
      <c r="C240" s="155">
        <v>23383</v>
      </c>
      <c r="D240" s="156" t="s">
        <v>1210</v>
      </c>
      <c r="E240" s="157"/>
      <c r="F240" s="157">
        <v>47459.62</v>
      </c>
      <c r="G240" s="157">
        <f t="shared" si="3"/>
        <v>35559875.549999997</v>
      </c>
      <c r="H240" s="158"/>
      <c r="I240" s="158"/>
    </row>
    <row r="241" spans="2:9" s="126" customFormat="1" ht="15.95" customHeight="1">
      <c r="B241" s="154">
        <v>44428</v>
      </c>
      <c r="C241" s="155">
        <v>23794</v>
      </c>
      <c r="D241" s="156" t="s">
        <v>1211</v>
      </c>
      <c r="E241" s="157"/>
      <c r="F241" s="157">
        <v>49036.69</v>
      </c>
      <c r="G241" s="157">
        <f t="shared" si="3"/>
        <v>35510838.859999999</v>
      </c>
      <c r="H241" s="158"/>
      <c r="I241" s="158"/>
    </row>
    <row r="242" spans="2:9" s="126" customFormat="1" ht="15.95" customHeight="1">
      <c r="B242" s="154">
        <v>44428</v>
      </c>
      <c r="C242" s="155">
        <v>23571</v>
      </c>
      <c r="D242" s="156" t="s">
        <v>1212</v>
      </c>
      <c r="E242" s="157"/>
      <c r="F242" s="157">
        <v>56093.91</v>
      </c>
      <c r="G242" s="157">
        <f t="shared" si="3"/>
        <v>35454744.950000003</v>
      </c>
      <c r="H242" s="158"/>
      <c r="I242" s="158"/>
    </row>
    <row r="243" spans="2:9" s="126" customFormat="1" ht="15.95" customHeight="1">
      <c r="B243" s="154">
        <v>44428</v>
      </c>
      <c r="C243" s="155">
        <v>23842</v>
      </c>
      <c r="D243" s="156" t="s">
        <v>1213</v>
      </c>
      <c r="E243" s="157"/>
      <c r="F243" s="157">
        <v>61375.17</v>
      </c>
      <c r="G243" s="157">
        <f t="shared" si="3"/>
        <v>35393369.780000001</v>
      </c>
      <c r="H243" s="158"/>
      <c r="I243" s="158"/>
    </row>
    <row r="244" spans="2:9" s="126" customFormat="1" ht="15.95" customHeight="1">
      <c r="B244" s="154">
        <v>44428</v>
      </c>
      <c r="C244" s="155">
        <v>23538</v>
      </c>
      <c r="D244" s="156" t="s">
        <v>1214</v>
      </c>
      <c r="E244" s="157"/>
      <c r="F244" s="157">
        <v>70329.08</v>
      </c>
      <c r="G244" s="157">
        <f t="shared" si="3"/>
        <v>35323040.700000003</v>
      </c>
      <c r="H244" s="158"/>
      <c r="I244" s="158"/>
    </row>
    <row r="245" spans="2:9" s="126" customFormat="1" ht="15.95" customHeight="1">
      <c r="B245" s="154">
        <v>44428</v>
      </c>
      <c r="C245" s="155">
        <v>23874</v>
      </c>
      <c r="D245" s="156" t="s">
        <v>1215</v>
      </c>
      <c r="E245" s="157"/>
      <c r="F245" s="157">
        <v>78266.5</v>
      </c>
      <c r="G245" s="157">
        <f t="shared" si="3"/>
        <v>35244774.200000003</v>
      </c>
      <c r="H245" s="158"/>
      <c r="I245" s="158"/>
    </row>
    <row r="246" spans="2:9" s="126" customFormat="1" ht="15.95" customHeight="1">
      <c r="B246" s="154">
        <v>44428</v>
      </c>
      <c r="C246" s="155">
        <v>23797</v>
      </c>
      <c r="D246" s="156" t="s">
        <v>1216</v>
      </c>
      <c r="E246" s="157"/>
      <c r="F246" s="157">
        <v>78919.240000000005</v>
      </c>
      <c r="G246" s="157">
        <f t="shared" si="3"/>
        <v>35165854.960000001</v>
      </c>
      <c r="H246" s="158"/>
      <c r="I246" s="158"/>
    </row>
    <row r="247" spans="2:9" s="126" customFormat="1" ht="15.95" customHeight="1">
      <c r="B247" s="154">
        <v>44428</v>
      </c>
      <c r="C247" s="155">
        <v>23453</v>
      </c>
      <c r="D247" s="156" t="s">
        <v>1217</v>
      </c>
      <c r="E247" s="157"/>
      <c r="F247" s="157">
        <v>84752.66</v>
      </c>
      <c r="G247" s="157">
        <f t="shared" si="3"/>
        <v>35081102.300000004</v>
      </c>
      <c r="H247" s="158"/>
      <c r="I247" s="158"/>
    </row>
    <row r="248" spans="2:9" s="126" customFormat="1" ht="15.95" customHeight="1">
      <c r="B248" s="154">
        <v>44428</v>
      </c>
      <c r="C248" s="155">
        <v>23580</v>
      </c>
      <c r="D248" s="156" t="s">
        <v>1218</v>
      </c>
      <c r="E248" s="157"/>
      <c r="F248" s="157">
        <v>85958.7</v>
      </c>
      <c r="G248" s="157">
        <f t="shared" si="3"/>
        <v>34995143.600000001</v>
      </c>
      <c r="H248" s="158"/>
      <c r="I248" s="158"/>
    </row>
    <row r="249" spans="2:9" s="126" customFormat="1" ht="15.95" customHeight="1">
      <c r="B249" s="154">
        <v>44428</v>
      </c>
      <c r="C249" s="155">
        <v>23311</v>
      </c>
      <c r="D249" s="156" t="s">
        <v>1219</v>
      </c>
      <c r="E249" s="157"/>
      <c r="F249" s="157">
        <v>93151.360000000001</v>
      </c>
      <c r="G249" s="157">
        <f t="shared" si="3"/>
        <v>34901992.240000002</v>
      </c>
      <c r="H249" s="158"/>
      <c r="I249" s="158"/>
    </row>
    <row r="250" spans="2:9" s="126" customFormat="1" ht="15.95" customHeight="1">
      <c r="B250" s="154">
        <v>44428</v>
      </c>
      <c r="C250" s="155">
        <v>23466</v>
      </c>
      <c r="D250" s="156" t="s">
        <v>1220</v>
      </c>
      <c r="E250" s="157"/>
      <c r="F250" s="157">
        <v>97833.12</v>
      </c>
      <c r="G250" s="157">
        <f t="shared" si="3"/>
        <v>34804159.120000005</v>
      </c>
      <c r="H250" s="158"/>
      <c r="I250" s="158"/>
    </row>
    <row r="251" spans="2:9" s="126" customFormat="1" ht="15.95" customHeight="1">
      <c r="B251" s="154">
        <v>44428</v>
      </c>
      <c r="C251" s="155">
        <v>23567</v>
      </c>
      <c r="D251" s="156" t="s">
        <v>1221</v>
      </c>
      <c r="E251" s="157"/>
      <c r="F251" s="157">
        <v>106792.03</v>
      </c>
      <c r="G251" s="157">
        <f t="shared" si="3"/>
        <v>34697367.090000004</v>
      </c>
      <c r="H251" s="158"/>
      <c r="I251" s="158"/>
    </row>
    <row r="252" spans="2:9" s="126" customFormat="1" ht="15.95" customHeight="1">
      <c r="B252" s="154">
        <v>44428</v>
      </c>
      <c r="C252" s="155">
        <v>23814</v>
      </c>
      <c r="D252" s="156" t="s">
        <v>1222</v>
      </c>
      <c r="E252" s="157"/>
      <c r="F252" s="157">
        <v>110752.19</v>
      </c>
      <c r="G252" s="157">
        <f t="shared" si="3"/>
        <v>34586614.900000006</v>
      </c>
      <c r="H252" s="158"/>
      <c r="I252" s="158"/>
    </row>
    <row r="253" spans="2:9" s="126" customFormat="1" ht="15.95" customHeight="1">
      <c r="B253" s="154">
        <v>44428</v>
      </c>
      <c r="C253" s="155">
        <v>23865</v>
      </c>
      <c r="D253" s="156" t="s">
        <v>1223</v>
      </c>
      <c r="E253" s="157"/>
      <c r="F253" s="157">
        <v>114647.8</v>
      </c>
      <c r="G253" s="157">
        <f t="shared" si="3"/>
        <v>34471967.100000009</v>
      </c>
      <c r="H253" s="158"/>
      <c r="I253" s="158"/>
    </row>
    <row r="254" spans="2:9" s="126" customFormat="1" ht="15.95" customHeight="1">
      <c r="B254" s="154">
        <v>44428</v>
      </c>
      <c r="C254" s="155">
        <v>23818</v>
      </c>
      <c r="D254" s="156" t="s">
        <v>1224</v>
      </c>
      <c r="E254" s="157"/>
      <c r="F254" s="157">
        <v>119765.4</v>
      </c>
      <c r="G254" s="157">
        <f t="shared" si="3"/>
        <v>34352201.70000001</v>
      </c>
      <c r="H254" s="158"/>
      <c r="I254" s="158"/>
    </row>
    <row r="255" spans="2:9" s="126" customFormat="1" ht="15.95" customHeight="1">
      <c r="B255" s="154">
        <v>44428</v>
      </c>
      <c r="C255" s="155">
        <v>23787</v>
      </c>
      <c r="D255" s="156" t="s">
        <v>1225</v>
      </c>
      <c r="E255" s="157"/>
      <c r="F255" s="157">
        <v>126665.48</v>
      </c>
      <c r="G255" s="157">
        <f t="shared" si="3"/>
        <v>34225536.220000014</v>
      </c>
      <c r="H255" s="158"/>
      <c r="I255" s="158"/>
    </row>
    <row r="256" spans="2:9" s="126" customFormat="1" ht="15.95" customHeight="1">
      <c r="B256" s="154">
        <v>44428</v>
      </c>
      <c r="C256" s="155">
        <v>23793</v>
      </c>
      <c r="D256" s="156" t="s">
        <v>1226</v>
      </c>
      <c r="E256" s="157"/>
      <c r="F256" s="157">
        <v>151406.70000000001</v>
      </c>
      <c r="G256" s="157">
        <f t="shared" si="3"/>
        <v>34074129.520000011</v>
      </c>
      <c r="H256" s="158"/>
      <c r="I256" s="158"/>
    </row>
    <row r="257" spans="2:9" s="126" customFormat="1" ht="15.95" customHeight="1">
      <c r="B257" s="154">
        <v>44428</v>
      </c>
      <c r="C257" s="155">
        <v>23864</v>
      </c>
      <c r="D257" s="156" t="s">
        <v>1227</v>
      </c>
      <c r="E257" s="157"/>
      <c r="F257" s="157">
        <v>176956.59</v>
      </c>
      <c r="G257" s="157">
        <f t="shared" si="3"/>
        <v>33897172.930000007</v>
      </c>
      <c r="H257" s="158"/>
      <c r="I257" s="158"/>
    </row>
    <row r="258" spans="2:9" s="126" customFormat="1" ht="15.95" customHeight="1">
      <c r="B258" s="154">
        <v>44428</v>
      </c>
      <c r="C258" s="155">
        <v>23553</v>
      </c>
      <c r="D258" s="156" t="s">
        <v>1228</v>
      </c>
      <c r="E258" s="157"/>
      <c r="F258" s="157">
        <v>193288.39</v>
      </c>
      <c r="G258" s="157">
        <f t="shared" si="3"/>
        <v>33703884.540000007</v>
      </c>
      <c r="H258" s="158"/>
      <c r="I258" s="158"/>
    </row>
    <row r="259" spans="2:9" s="126" customFormat="1" ht="15.95" customHeight="1">
      <c r="B259" s="154">
        <v>44428</v>
      </c>
      <c r="C259" s="155">
        <v>23799</v>
      </c>
      <c r="D259" s="156" t="s">
        <v>1229</v>
      </c>
      <c r="E259" s="157"/>
      <c r="F259" s="157">
        <v>193637.82</v>
      </c>
      <c r="G259" s="157">
        <f t="shared" si="3"/>
        <v>33510246.720000006</v>
      </c>
      <c r="H259" s="158"/>
      <c r="I259" s="158"/>
    </row>
    <row r="260" spans="2:9" s="126" customFormat="1" ht="15.95" customHeight="1">
      <c r="B260" s="154">
        <v>44428</v>
      </c>
      <c r="C260" s="155">
        <v>23570</v>
      </c>
      <c r="D260" s="156" t="s">
        <v>1230</v>
      </c>
      <c r="E260" s="157"/>
      <c r="F260" s="157">
        <v>234393.99</v>
      </c>
      <c r="G260" s="157">
        <f t="shared" si="3"/>
        <v>33275852.730000008</v>
      </c>
      <c r="H260" s="158"/>
      <c r="I260" s="158"/>
    </row>
    <row r="261" spans="2:9" s="126" customFormat="1" ht="15.95" customHeight="1">
      <c r="B261" s="154">
        <v>44428</v>
      </c>
      <c r="C261" s="155">
        <v>23536</v>
      </c>
      <c r="D261" s="156" t="s">
        <v>1231</v>
      </c>
      <c r="E261" s="157"/>
      <c r="F261" s="157">
        <v>250445.03</v>
      </c>
      <c r="G261" s="157">
        <f t="shared" si="3"/>
        <v>33025407.700000007</v>
      </c>
      <c r="H261" s="158"/>
      <c r="I261" s="158"/>
    </row>
    <row r="262" spans="2:9" s="126" customFormat="1" ht="15.95" customHeight="1">
      <c r="B262" s="154">
        <v>44428</v>
      </c>
      <c r="C262" s="155">
        <v>23860</v>
      </c>
      <c r="D262" s="156" t="s">
        <v>1232</v>
      </c>
      <c r="E262" s="157"/>
      <c r="F262" s="157">
        <v>3255421.2</v>
      </c>
      <c r="G262" s="157">
        <f t="shared" si="3"/>
        <v>29769986.500000007</v>
      </c>
      <c r="H262" s="158"/>
      <c r="I262" s="158"/>
    </row>
    <row r="263" spans="2:9" s="126" customFormat="1" ht="15.95" customHeight="1">
      <c r="B263" s="154">
        <v>44428</v>
      </c>
      <c r="C263" s="155">
        <v>23859</v>
      </c>
      <c r="D263" s="156" t="s">
        <v>1232</v>
      </c>
      <c r="E263" s="157"/>
      <c r="F263" s="157">
        <v>8776000</v>
      </c>
      <c r="G263" s="157">
        <f t="shared" si="3"/>
        <v>20993986.500000007</v>
      </c>
      <c r="H263" s="158"/>
      <c r="I263" s="158"/>
    </row>
    <row r="264" spans="2:9" s="126" customFormat="1" ht="15.95" customHeight="1">
      <c r="B264" s="154">
        <v>44428</v>
      </c>
      <c r="C264" s="155">
        <v>24153648650</v>
      </c>
      <c r="D264" s="156" t="s">
        <v>1106</v>
      </c>
      <c r="E264" s="157"/>
      <c r="F264" s="157">
        <v>600000</v>
      </c>
      <c r="G264" s="157">
        <f t="shared" si="3"/>
        <v>20393986.500000007</v>
      </c>
      <c r="H264" s="158"/>
      <c r="I264" s="158"/>
    </row>
    <row r="265" spans="2:9" s="126" customFormat="1" ht="15.95" customHeight="1">
      <c r="B265" s="154">
        <v>44428</v>
      </c>
      <c r="C265" s="155">
        <v>24152692816</v>
      </c>
      <c r="D265" s="156" t="s">
        <v>1106</v>
      </c>
      <c r="E265" s="157"/>
      <c r="F265" s="157">
        <v>3370000</v>
      </c>
      <c r="G265" s="157">
        <f t="shared" si="3"/>
        <v>17023986.500000007</v>
      </c>
      <c r="H265" s="158"/>
      <c r="I265" s="158"/>
    </row>
    <row r="266" spans="2:9" s="126" customFormat="1" ht="15.95" customHeight="1">
      <c r="B266" s="154">
        <v>44431</v>
      </c>
      <c r="C266" s="155">
        <v>463250635</v>
      </c>
      <c r="D266" s="156" t="s">
        <v>1064</v>
      </c>
      <c r="E266" s="157">
        <v>425395</v>
      </c>
      <c r="F266" s="157"/>
      <c r="G266" s="157">
        <f t="shared" si="3"/>
        <v>17449381.500000007</v>
      </c>
      <c r="H266" s="158"/>
      <c r="I266" s="158"/>
    </row>
    <row r="267" spans="2:9" s="126" customFormat="1" ht="15.95" customHeight="1">
      <c r="B267" s="154">
        <v>44431</v>
      </c>
      <c r="C267" s="155">
        <v>463250634</v>
      </c>
      <c r="D267" s="156" t="s">
        <v>1064</v>
      </c>
      <c r="E267" s="157">
        <v>776489</v>
      </c>
      <c r="F267" s="157"/>
      <c r="G267" s="157">
        <f t="shared" si="3"/>
        <v>18225870.500000007</v>
      </c>
      <c r="H267" s="158"/>
      <c r="I267" s="158"/>
    </row>
    <row r="268" spans="2:9" s="126" customFormat="1" ht="15.95" customHeight="1">
      <c r="B268" s="154">
        <v>44431</v>
      </c>
      <c r="C268" s="155">
        <v>463250629</v>
      </c>
      <c r="D268" s="156" t="s">
        <v>1064</v>
      </c>
      <c r="E268" s="157">
        <v>909433</v>
      </c>
      <c r="F268" s="157"/>
      <c r="G268" s="157">
        <f t="shared" si="3"/>
        <v>19135303.500000007</v>
      </c>
      <c r="H268" s="158"/>
      <c r="I268" s="158"/>
    </row>
    <row r="269" spans="2:9" s="126" customFormat="1" ht="15.95" customHeight="1">
      <c r="B269" s="154">
        <v>44431</v>
      </c>
      <c r="C269" s="155">
        <v>24157395519</v>
      </c>
      <c r="D269" s="156" t="s">
        <v>1064</v>
      </c>
      <c r="E269" s="157">
        <v>20500000</v>
      </c>
      <c r="F269" s="157"/>
      <c r="G269" s="157">
        <f t="shared" si="3"/>
        <v>39635303.500000007</v>
      </c>
      <c r="H269" s="158"/>
      <c r="I269" s="158"/>
    </row>
    <row r="270" spans="2:9" s="126" customFormat="1" ht="15.95" customHeight="1">
      <c r="B270" s="154">
        <v>44431</v>
      </c>
      <c r="C270" s="155">
        <v>24168345909</v>
      </c>
      <c r="D270" s="156" t="s">
        <v>1064</v>
      </c>
      <c r="E270" s="157">
        <v>500000</v>
      </c>
      <c r="F270" s="157"/>
      <c r="G270" s="157">
        <f t="shared" si="3"/>
        <v>40135303.500000007</v>
      </c>
      <c r="H270" s="158"/>
      <c r="I270" s="158"/>
    </row>
    <row r="271" spans="2:9" s="126" customFormat="1" ht="15.95" customHeight="1">
      <c r="B271" s="154">
        <v>44431</v>
      </c>
      <c r="C271" s="155">
        <v>19617185</v>
      </c>
      <c r="D271" s="156" t="s">
        <v>1064</v>
      </c>
      <c r="E271" s="157">
        <v>1429707</v>
      </c>
      <c r="F271" s="157"/>
      <c r="G271" s="157">
        <f t="shared" si="3"/>
        <v>41565010.500000007</v>
      </c>
      <c r="H271" s="158"/>
      <c r="I271" s="158"/>
    </row>
    <row r="272" spans="2:9" s="126" customFormat="1" ht="15.95" customHeight="1">
      <c r="B272" s="154">
        <v>44431</v>
      </c>
      <c r="C272" s="155">
        <v>23568</v>
      </c>
      <c r="D272" s="156" t="s">
        <v>1233</v>
      </c>
      <c r="E272" s="157"/>
      <c r="F272" s="157">
        <v>37883.019999999997</v>
      </c>
      <c r="G272" s="157">
        <f t="shared" si="3"/>
        <v>41527127.480000004</v>
      </c>
      <c r="H272" s="158"/>
      <c r="I272" s="158"/>
    </row>
    <row r="273" spans="2:9" s="126" customFormat="1" ht="15.95" customHeight="1">
      <c r="B273" s="154">
        <v>44431</v>
      </c>
      <c r="C273" s="155">
        <v>23827</v>
      </c>
      <c r="D273" s="156" t="s">
        <v>1234</v>
      </c>
      <c r="E273" s="157"/>
      <c r="F273" s="157">
        <v>42305.03</v>
      </c>
      <c r="G273" s="157">
        <f t="shared" si="3"/>
        <v>41484822.450000003</v>
      </c>
      <c r="H273" s="158"/>
      <c r="I273" s="158"/>
    </row>
    <row r="274" spans="2:9" s="126" customFormat="1" ht="15.95" customHeight="1">
      <c r="B274" s="154">
        <v>44431</v>
      </c>
      <c r="C274" s="155">
        <v>23828</v>
      </c>
      <c r="D274" s="156" t="s">
        <v>1235</v>
      </c>
      <c r="E274" s="157"/>
      <c r="F274" s="157">
        <v>80592.639999999999</v>
      </c>
      <c r="G274" s="157">
        <f t="shared" ref="G274:G337" si="4">+G273+E274-F274</f>
        <v>41404229.810000002</v>
      </c>
      <c r="H274" s="158"/>
      <c r="I274" s="158"/>
    </row>
    <row r="275" spans="2:9" s="126" customFormat="1" ht="15.95" customHeight="1">
      <c r="B275" s="154">
        <v>44431</v>
      </c>
      <c r="C275" s="155">
        <v>23879</v>
      </c>
      <c r="D275" s="156" t="s">
        <v>1236</v>
      </c>
      <c r="E275" s="157"/>
      <c r="F275" s="157">
        <v>83458.7</v>
      </c>
      <c r="G275" s="157">
        <f t="shared" si="4"/>
        <v>41320771.109999999</v>
      </c>
      <c r="H275" s="158"/>
      <c r="I275" s="158"/>
    </row>
    <row r="276" spans="2:9" s="126" customFormat="1" ht="15.95" customHeight="1">
      <c r="B276" s="154">
        <v>44431</v>
      </c>
      <c r="C276" s="155">
        <v>23637</v>
      </c>
      <c r="D276" s="156" t="s">
        <v>1237</v>
      </c>
      <c r="E276" s="157"/>
      <c r="F276" s="157">
        <v>133073.37</v>
      </c>
      <c r="G276" s="157">
        <f t="shared" si="4"/>
        <v>41187697.740000002</v>
      </c>
      <c r="H276" s="158"/>
      <c r="I276" s="158"/>
    </row>
    <row r="277" spans="2:9" s="126" customFormat="1" ht="15.95" customHeight="1">
      <c r="B277" s="154">
        <v>44431</v>
      </c>
      <c r="C277" s="155">
        <v>23505</v>
      </c>
      <c r="D277" s="156" t="s">
        <v>1238</v>
      </c>
      <c r="E277" s="157"/>
      <c r="F277" s="157">
        <v>134622.46</v>
      </c>
      <c r="G277" s="157">
        <f t="shared" si="4"/>
        <v>41053075.280000001</v>
      </c>
      <c r="H277" s="158"/>
      <c r="I277" s="158"/>
    </row>
    <row r="278" spans="2:9" s="126" customFormat="1" ht="15.95" customHeight="1">
      <c r="B278" s="154">
        <v>44431</v>
      </c>
      <c r="C278" s="155">
        <v>23863</v>
      </c>
      <c r="D278" s="156" t="s">
        <v>1099</v>
      </c>
      <c r="E278" s="157"/>
      <c r="F278" s="157">
        <v>282686.34000000003</v>
      </c>
      <c r="G278" s="157">
        <f t="shared" si="4"/>
        <v>40770388.939999998</v>
      </c>
      <c r="H278" s="158"/>
      <c r="I278" s="158"/>
    </row>
    <row r="279" spans="2:9" s="126" customFormat="1" ht="15.95" customHeight="1">
      <c r="B279" s="154">
        <v>44431</v>
      </c>
      <c r="C279" s="155">
        <v>23846</v>
      </c>
      <c r="D279" s="156" t="s">
        <v>1239</v>
      </c>
      <c r="E279" s="157"/>
      <c r="F279" s="157">
        <v>486624.37</v>
      </c>
      <c r="G279" s="157">
        <f t="shared" si="4"/>
        <v>40283764.57</v>
      </c>
      <c r="H279" s="158"/>
      <c r="I279" s="158"/>
    </row>
    <row r="280" spans="2:9" s="126" customFormat="1" ht="15.95" customHeight="1">
      <c r="B280" s="154">
        <v>44431</v>
      </c>
      <c r="C280" s="155">
        <v>23856</v>
      </c>
      <c r="D280" s="156" t="s">
        <v>1066</v>
      </c>
      <c r="E280" s="157"/>
      <c r="F280" s="157">
        <v>624080</v>
      </c>
      <c r="G280" s="157">
        <f t="shared" si="4"/>
        <v>39659684.57</v>
      </c>
      <c r="H280" s="158"/>
      <c r="I280" s="158"/>
    </row>
    <row r="281" spans="2:9" s="126" customFormat="1" ht="15.95" customHeight="1">
      <c r="B281" s="154">
        <v>44431</v>
      </c>
      <c r="C281" s="155">
        <v>23857</v>
      </c>
      <c r="D281" s="156" t="s">
        <v>1106</v>
      </c>
      <c r="E281" s="157"/>
      <c r="F281" s="157">
        <v>1600000</v>
      </c>
      <c r="G281" s="157">
        <f t="shared" si="4"/>
        <v>38059684.57</v>
      </c>
      <c r="H281" s="158"/>
      <c r="I281" s="158"/>
    </row>
    <row r="282" spans="2:9" s="126" customFormat="1" ht="15.95" customHeight="1">
      <c r="B282" s="154">
        <v>44431</v>
      </c>
      <c r="C282" s="155">
        <v>23902</v>
      </c>
      <c r="D282" s="156" t="s">
        <v>1106</v>
      </c>
      <c r="E282" s="157"/>
      <c r="F282" s="157">
        <v>2111317</v>
      </c>
      <c r="G282" s="157">
        <f t="shared" si="4"/>
        <v>35948367.57</v>
      </c>
      <c r="H282" s="158"/>
      <c r="I282" s="158"/>
    </row>
    <row r="283" spans="2:9" s="126" customFormat="1" ht="15.95" customHeight="1">
      <c r="B283" s="154">
        <v>44431</v>
      </c>
      <c r="C283" s="155">
        <v>23852</v>
      </c>
      <c r="D283" s="156" t="s">
        <v>1106</v>
      </c>
      <c r="E283" s="157"/>
      <c r="F283" s="157">
        <v>5000000</v>
      </c>
      <c r="G283" s="157">
        <f t="shared" si="4"/>
        <v>30948367.57</v>
      </c>
      <c r="H283" s="158"/>
      <c r="I283" s="158"/>
    </row>
    <row r="284" spans="2:9" s="126" customFormat="1" ht="15.95" customHeight="1">
      <c r="B284" s="154">
        <v>44431</v>
      </c>
      <c r="C284" s="155">
        <v>23853</v>
      </c>
      <c r="D284" s="156" t="s">
        <v>1106</v>
      </c>
      <c r="E284" s="157"/>
      <c r="F284" s="157">
        <v>5000000</v>
      </c>
      <c r="G284" s="157">
        <f t="shared" si="4"/>
        <v>25948367.57</v>
      </c>
      <c r="H284" s="158"/>
      <c r="I284" s="158"/>
    </row>
    <row r="285" spans="2:9" s="126" customFormat="1" ht="15.95" customHeight="1">
      <c r="B285" s="154">
        <v>44431</v>
      </c>
      <c r="C285" s="155">
        <v>23854</v>
      </c>
      <c r="D285" s="156" t="s">
        <v>1106</v>
      </c>
      <c r="E285" s="157"/>
      <c r="F285" s="157">
        <v>5000000</v>
      </c>
      <c r="G285" s="157">
        <f t="shared" si="4"/>
        <v>20948367.57</v>
      </c>
      <c r="H285" s="158"/>
      <c r="I285" s="158"/>
    </row>
    <row r="286" spans="2:9" s="126" customFormat="1" ht="15.95" customHeight="1">
      <c r="B286" s="154">
        <v>44431</v>
      </c>
      <c r="C286" s="155">
        <v>23855</v>
      </c>
      <c r="D286" s="156" t="s">
        <v>1106</v>
      </c>
      <c r="E286" s="157"/>
      <c r="F286" s="157">
        <v>5000000</v>
      </c>
      <c r="G286" s="157">
        <f t="shared" si="4"/>
        <v>15948367.57</v>
      </c>
      <c r="H286" s="158"/>
      <c r="I286" s="158"/>
    </row>
    <row r="287" spans="2:9" s="126" customFormat="1" ht="15.95" customHeight="1">
      <c r="B287" s="154">
        <v>44432</v>
      </c>
      <c r="C287" s="155">
        <v>19617190</v>
      </c>
      <c r="D287" s="156" t="s">
        <v>1064</v>
      </c>
      <c r="E287" s="157">
        <v>1600000</v>
      </c>
      <c r="F287" s="157"/>
      <c r="G287" s="157">
        <f t="shared" si="4"/>
        <v>17548367.57</v>
      </c>
      <c r="H287" s="158"/>
      <c r="I287" s="158"/>
    </row>
    <row r="288" spans="2:9" s="126" customFormat="1" ht="15.95" customHeight="1">
      <c r="B288" s="154">
        <v>44432</v>
      </c>
      <c r="C288" s="155">
        <v>19617186</v>
      </c>
      <c r="D288" s="156" t="s">
        <v>1064</v>
      </c>
      <c r="E288" s="157">
        <v>5000000</v>
      </c>
      <c r="F288" s="157"/>
      <c r="G288" s="157">
        <f t="shared" si="4"/>
        <v>22548367.57</v>
      </c>
      <c r="H288" s="158"/>
      <c r="I288" s="158"/>
    </row>
    <row r="289" spans="2:9" s="126" customFormat="1" ht="15.95" customHeight="1">
      <c r="B289" s="154">
        <v>44432</v>
      </c>
      <c r="C289" s="155">
        <v>19617149</v>
      </c>
      <c r="D289" s="156" t="s">
        <v>1064</v>
      </c>
      <c r="E289" s="157">
        <v>10000000</v>
      </c>
      <c r="F289" s="157"/>
      <c r="G289" s="157">
        <f t="shared" si="4"/>
        <v>32548367.57</v>
      </c>
      <c r="H289" s="158"/>
      <c r="I289" s="158"/>
    </row>
    <row r="290" spans="2:9" s="126" customFormat="1" ht="15.95" customHeight="1">
      <c r="B290" s="154">
        <v>44432</v>
      </c>
      <c r="C290" s="155">
        <v>23804</v>
      </c>
      <c r="D290" s="156" t="s">
        <v>1240</v>
      </c>
      <c r="E290" s="157"/>
      <c r="F290" s="157">
        <v>29865.48</v>
      </c>
      <c r="G290" s="157">
        <f t="shared" si="4"/>
        <v>32518502.09</v>
      </c>
      <c r="H290" s="158"/>
      <c r="I290" s="158"/>
    </row>
    <row r="291" spans="2:9" s="126" customFormat="1" ht="15.95" customHeight="1">
      <c r="B291" s="154">
        <v>44432</v>
      </c>
      <c r="C291" s="155">
        <v>23890</v>
      </c>
      <c r="D291" s="156" t="s">
        <v>1241</v>
      </c>
      <c r="E291" s="157"/>
      <c r="F291" s="157">
        <v>47460</v>
      </c>
      <c r="G291" s="157">
        <f t="shared" si="4"/>
        <v>32471042.09</v>
      </c>
      <c r="H291" s="158"/>
      <c r="I291" s="158"/>
    </row>
    <row r="292" spans="2:9" s="126" customFormat="1" ht="15.95" customHeight="1">
      <c r="B292" s="154">
        <v>44432</v>
      </c>
      <c r="C292" s="155">
        <v>23823</v>
      </c>
      <c r="D292" s="156" t="s">
        <v>1242</v>
      </c>
      <c r="E292" s="157"/>
      <c r="F292" s="157">
        <v>64092.639999999999</v>
      </c>
      <c r="G292" s="157">
        <f t="shared" si="4"/>
        <v>32406949.449999999</v>
      </c>
      <c r="H292" s="158"/>
      <c r="I292" s="158"/>
    </row>
    <row r="293" spans="2:9" s="126" customFormat="1" ht="15.95" customHeight="1">
      <c r="B293" s="154">
        <v>44432</v>
      </c>
      <c r="C293" s="155">
        <v>23603</v>
      </c>
      <c r="D293" s="156" t="s">
        <v>1243</v>
      </c>
      <c r="E293" s="157"/>
      <c r="F293" s="157">
        <v>70510.69</v>
      </c>
      <c r="G293" s="157">
        <f t="shared" si="4"/>
        <v>32336438.759999998</v>
      </c>
      <c r="H293" s="158"/>
      <c r="I293" s="158"/>
    </row>
    <row r="294" spans="2:9" s="126" customFormat="1" ht="15.95" customHeight="1">
      <c r="B294" s="154">
        <v>44432</v>
      </c>
      <c r="C294" s="155">
        <v>23812</v>
      </c>
      <c r="D294" s="156" t="s">
        <v>1244</v>
      </c>
      <c r="E294" s="157"/>
      <c r="F294" s="157">
        <v>73894.899999999994</v>
      </c>
      <c r="G294" s="157">
        <f t="shared" si="4"/>
        <v>32262543.859999999</v>
      </c>
      <c r="H294" s="158"/>
      <c r="I294" s="158"/>
    </row>
    <row r="295" spans="2:9" s="126" customFormat="1" ht="15.95" customHeight="1">
      <c r="B295" s="154">
        <v>44432</v>
      </c>
      <c r="C295" s="155">
        <v>23813</v>
      </c>
      <c r="D295" s="156" t="s">
        <v>1245</v>
      </c>
      <c r="E295" s="157"/>
      <c r="F295" s="157">
        <v>97535.76</v>
      </c>
      <c r="G295" s="157">
        <f t="shared" si="4"/>
        <v>32165008.099999998</v>
      </c>
      <c r="H295" s="158"/>
      <c r="I295" s="158"/>
    </row>
    <row r="296" spans="2:9" s="126" customFormat="1" ht="15.95" customHeight="1">
      <c r="B296" s="154">
        <v>44432</v>
      </c>
      <c r="C296" s="155">
        <v>23811</v>
      </c>
      <c r="D296" s="156" t="s">
        <v>1246</v>
      </c>
      <c r="E296" s="157"/>
      <c r="F296" s="157">
        <v>112195.94</v>
      </c>
      <c r="G296" s="157">
        <f t="shared" si="4"/>
        <v>32052812.159999996</v>
      </c>
      <c r="H296" s="158"/>
      <c r="I296" s="158"/>
    </row>
    <row r="297" spans="2:9" s="126" customFormat="1" ht="15.95" customHeight="1">
      <c r="B297" s="154">
        <v>44432</v>
      </c>
      <c r="C297" s="155">
        <v>23845</v>
      </c>
      <c r="D297" s="156" t="s">
        <v>1247</v>
      </c>
      <c r="E297" s="157"/>
      <c r="F297" s="157">
        <v>115090.56</v>
      </c>
      <c r="G297" s="157">
        <f t="shared" si="4"/>
        <v>31937721.599999998</v>
      </c>
      <c r="H297" s="158"/>
      <c r="I297" s="158"/>
    </row>
    <row r="298" spans="2:9" s="126" customFormat="1" ht="15.95" customHeight="1">
      <c r="B298" s="154">
        <v>44432</v>
      </c>
      <c r="C298" s="155">
        <v>23601</v>
      </c>
      <c r="D298" s="156" t="s">
        <v>1248</v>
      </c>
      <c r="E298" s="157"/>
      <c r="F298" s="157">
        <v>157986.38</v>
      </c>
      <c r="G298" s="157">
        <f t="shared" si="4"/>
        <v>31779735.219999999</v>
      </c>
      <c r="H298" s="158"/>
      <c r="I298" s="158"/>
    </row>
    <row r="299" spans="2:9" s="126" customFormat="1" ht="15.95" customHeight="1">
      <c r="B299" s="154">
        <v>44432</v>
      </c>
      <c r="C299" s="155">
        <v>23815</v>
      </c>
      <c r="D299" s="156" t="s">
        <v>1249</v>
      </c>
      <c r="E299" s="157"/>
      <c r="F299" s="157">
        <v>179018.91</v>
      </c>
      <c r="G299" s="157">
        <f t="shared" si="4"/>
        <v>31600716.309999999</v>
      </c>
      <c r="H299" s="158"/>
      <c r="I299" s="158"/>
    </row>
    <row r="300" spans="2:9" s="126" customFormat="1" ht="15.95" customHeight="1">
      <c r="B300" s="154">
        <v>44432</v>
      </c>
      <c r="C300" s="155">
        <v>23887</v>
      </c>
      <c r="D300" s="156" t="s">
        <v>1250</v>
      </c>
      <c r="E300" s="157"/>
      <c r="F300" s="157">
        <v>199440.48</v>
      </c>
      <c r="G300" s="157">
        <f t="shared" si="4"/>
        <v>31401275.829999998</v>
      </c>
      <c r="H300" s="158"/>
      <c r="I300" s="158"/>
    </row>
    <row r="301" spans="2:9" s="126" customFormat="1" ht="15.95" customHeight="1">
      <c r="B301" s="154">
        <v>44432</v>
      </c>
      <c r="C301" s="155">
        <v>23833</v>
      </c>
      <c r="D301" s="156" t="s">
        <v>1251</v>
      </c>
      <c r="E301" s="157"/>
      <c r="F301" s="157">
        <v>252571.07</v>
      </c>
      <c r="G301" s="157">
        <f t="shared" si="4"/>
        <v>31148704.759999998</v>
      </c>
      <c r="H301" s="158"/>
      <c r="I301" s="158"/>
    </row>
    <row r="302" spans="2:9" s="126" customFormat="1" ht="15.95" customHeight="1">
      <c r="B302" s="154">
        <v>44432</v>
      </c>
      <c r="C302" s="155">
        <v>23805</v>
      </c>
      <c r="D302" s="156" t="s">
        <v>1252</v>
      </c>
      <c r="E302" s="157"/>
      <c r="F302" s="157">
        <v>260000</v>
      </c>
      <c r="G302" s="157">
        <f t="shared" si="4"/>
        <v>30888704.759999998</v>
      </c>
      <c r="H302" s="158"/>
      <c r="I302" s="158"/>
    </row>
    <row r="303" spans="2:9" s="126" customFormat="1" ht="15.95" customHeight="1">
      <c r="B303" s="154">
        <v>44432</v>
      </c>
      <c r="C303" s="155">
        <v>23873</v>
      </c>
      <c r="D303" s="156" t="s">
        <v>1253</v>
      </c>
      <c r="E303" s="157"/>
      <c r="F303" s="157">
        <v>314761.42</v>
      </c>
      <c r="G303" s="157">
        <f t="shared" si="4"/>
        <v>30573943.339999996</v>
      </c>
      <c r="H303" s="158"/>
      <c r="I303" s="158"/>
    </row>
    <row r="304" spans="2:9" s="126" customFormat="1" ht="15.95" customHeight="1">
      <c r="B304" s="154">
        <v>44432</v>
      </c>
      <c r="C304" s="155">
        <v>23896</v>
      </c>
      <c r="D304" s="156" t="s">
        <v>1254</v>
      </c>
      <c r="E304" s="157"/>
      <c r="F304" s="157">
        <v>401043.20000000001</v>
      </c>
      <c r="G304" s="157">
        <f t="shared" si="4"/>
        <v>30172900.139999997</v>
      </c>
      <c r="H304" s="158"/>
      <c r="I304" s="158"/>
    </row>
    <row r="305" spans="2:9" s="126" customFormat="1" ht="15.95" customHeight="1">
      <c r="B305" s="154">
        <v>44432</v>
      </c>
      <c r="C305" s="155">
        <v>23871</v>
      </c>
      <c r="D305" s="156" t="s">
        <v>1255</v>
      </c>
      <c r="E305" s="157"/>
      <c r="F305" s="157">
        <v>479250</v>
      </c>
      <c r="G305" s="157">
        <f t="shared" si="4"/>
        <v>29693650.139999997</v>
      </c>
      <c r="H305" s="158"/>
      <c r="I305" s="158"/>
    </row>
    <row r="306" spans="2:9" s="126" customFormat="1" ht="15.95" customHeight="1">
      <c r="B306" s="154">
        <v>44432</v>
      </c>
      <c r="C306" s="155">
        <v>23895</v>
      </c>
      <c r="D306" s="156" t="s">
        <v>1254</v>
      </c>
      <c r="E306" s="157"/>
      <c r="F306" s="157">
        <v>690330.53</v>
      </c>
      <c r="G306" s="157">
        <f t="shared" si="4"/>
        <v>29003319.609999996</v>
      </c>
      <c r="H306" s="158"/>
      <c r="I306" s="158"/>
    </row>
    <row r="307" spans="2:9" s="126" customFormat="1" ht="15.95" customHeight="1">
      <c r="B307" s="154">
        <v>44432</v>
      </c>
      <c r="C307" s="155">
        <v>23891</v>
      </c>
      <c r="D307" s="156" t="s">
        <v>1256</v>
      </c>
      <c r="E307" s="157"/>
      <c r="F307" s="157">
        <v>1920572.51</v>
      </c>
      <c r="G307" s="157">
        <f t="shared" si="4"/>
        <v>27082747.099999994</v>
      </c>
      <c r="H307" s="158"/>
      <c r="I307" s="158"/>
    </row>
    <row r="308" spans="2:9" s="126" customFormat="1" ht="15.95" customHeight="1">
      <c r="B308" s="154">
        <v>44432</v>
      </c>
      <c r="C308" s="155">
        <v>23893</v>
      </c>
      <c r="D308" s="156" t="s">
        <v>1257</v>
      </c>
      <c r="E308" s="157"/>
      <c r="F308" s="157">
        <v>10000000</v>
      </c>
      <c r="G308" s="157">
        <f t="shared" si="4"/>
        <v>17082747.099999994</v>
      </c>
      <c r="H308" s="158"/>
      <c r="I308" s="158"/>
    </row>
    <row r="309" spans="2:9" s="126" customFormat="1" ht="15.95" customHeight="1">
      <c r="B309" s="154">
        <v>44432</v>
      </c>
      <c r="C309" s="155">
        <v>24183048620</v>
      </c>
      <c r="D309" s="156" t="s">
        <v>1106</v>
      </c>
      <c r="E309" s="157"/>
      <c r="F309" s="157">
        <v>1200000</v>
      </c>
      <c r="G309" s="157">
        <f t="shared" si="4"/>
        <v>15882747.099999994</v>
      </c>
      <c r="H309" s="158"/>
      <c r="I309" s="158"/>
    </row>
    <row r="310" spans="2:9" s="126" customFormat="1" ht="15.95" customHeight="1">
      <c r="B310" s="154">
        <v>44433</v>
      </c>
      <c r="C310" s="155">
        <v>463160209</v>
      </c>
      <c r="D310" s="156" t="s">
        <v>1064</v>
      </c>
      <c r="E310" s="157">
        <v>1411288</v>
      </c>
      <c r="F310" s="157"/>
      <c r="G310" s="157">
        <f t="shared" si="4"/>
        <v>17294035.099999994</v>
      </c>
      <c r="H310" s="158"/>
      <c r="I310" s="158"/>
    </row>
    <row r="311" spans="2:9" s="126" customFormat="1" ht="15.95" customHeight="1">
      <c r="B311" s="154">
        <v>44433</v>
      </c>
      <c r="C311" s="155">
        <v>24197815117</v>
      </c>
      <c r="D311" s="156" t="s">
        <v>1064</v>
      </c>
      <c r="E311" s="157">
        <v>51000000</v>
      </c>
      <c r="F311" s="157"/>
      <c r="G311" s="157">
        <f t="shared" si="4"/>
        <v>68294035.099999994</v>
      </c>
      <c r="H311" s="158"/>
      <c r="I311" s="158"/>
    </row>
    <row r="312" spans="2:9" s="126" customFormat="1" ht="15.95" customHeight="1">
      <c r="B312" s="154">
        <v>44433</v>
      </c>
      <c r="C312" s="155">
        <v>23968</v>
      </c>
      <c r="D312" s="156" t="s">
        <v>1106</v>
      </c>
      <c r="E312" s="157"/>
      <c r="F312" s="157">
        <v>1411288</v>
      </c>
      <c r="G312" s="157">
        <f t="shared" si="4"/>
        <v>66882747.099999994</v>
      </c>
      <c r="H312" s="158"/>
      <c r="I312" s="158"/>
    </row>
    <row r="313" spans="2:9" s="126" customFormat="1" ht="15.95" customHeight="1">
      <c r="B313" s="154">
        <v>44434</v>
      </c>
      <c r="C313" s="155">
        <v>19617151</v>
      </c>
      <c r="D313" s="156" t="s">
        <v>1064</v>
      </c>
      <c r="E313" s="157">
        <v>10000000</v>
      </c>
      <c r="F313" s="157"/>
      <c r="G313" s="157">
        <f t="shared" si="4"/>
        <v>76882747.099999994</v>
      </c>
      <c r="H313" s="158"/>
      <c r="I313" s="158"/>
    </row>
    <row r="314" spans="2:9" s="126" customFormat="1" ht="15.95" customHeight="1">
      <c r="B314" s="154">
        <v>44434</v>
      </c>
      <c r="C314" s="155">
        <v>23517</v>
      </c>
      <c r="D314" s="156" t="s">
        <v>1258</v>
      </c>
      <c r="E314" s="157"/>
      <c r="F314" s="157">
        <v>18614.21</v>
      </c>
      <c r="G314" s="157">
        <f t="shared" si="4"/>
        <v>76864132.890000001</v>
      </c>
      <c r="H314" s="158"/>
      <c r="I314" s="158"/>
    </row>
    <row r="315" spans="2:9" s="126" customFormat="1" ht="15.95" customHeight="1">
      <c r="B315" s="154">
        <v>44434</v>
      </c>
      <c r="C315" s="155">
        <v>23782</v>
      </c>
      <c r="D315" s="156" t="s">
        <v>1259</v>
      </c>
      <c r="E315" s="157"/>
      <c r="F315" s="157">
        <v>19587.759999999998</v>
      </c>
      <c r="G315" s="157">
        <f t="shared" si="4"/>
        <v>76844545.129999995</v>
      </c>
      <c r="H315" s="158"/>
      <c r="I315" s="158"/>
    </row>
    <row r="316" spans="2:9" s="126" customFormat="1" ht="15.95" customHeight="1">
      <c r="B316" s="154">
        <v>44434</v>
      </c>
      <c r="C316" s="155">
        <v>23894</v>
      </c>
      <c r="D316" s="156" t="s">
        <v>1260</v>
      </c>
      <c r="E316" s="157"/>
      <c r="F316" s="157">
        <v>37790.47</v>
      </c>
      <c r="G316" s="157">
        <f t="shared" si="4"/>
        <v>76806754.659999996</v>
      </c>
      <c r="H316" s="158"/>
      <c r="I316" s="158"/>
    </row>
    <row r="317" spans="2:9" s="126" customFormat="1" ht="15.95" customHeight="1">
      <c r="B317" s="154">
        <v>44434</v>
      </c>
      <c r="C317" s="155">
        <v>23904</v>
      </c>
      <c r="D317" s="156" t="s">
        <v>1261</v>
      </c>
      <c r="E317" s="157"/>
      <c r="F317" s="157">
        <v>39024.75</v>
      </c>
      <c r="G317" s="157">
        <f t="shared" si="4"/>
        <v>76767729.909999996</v>
      </c>
      <c r="H317" s="158"/>
      <c r="I317" s="158"/>
    </row>
    <row r="318" spans="2:9" s="126" customFormat="1" ht="15.95" customHeight="1">
      <c r="B318" s="154">
        <v>44434</v>
      </c>
      <c r="C318" s="155">
        <v>23791</v>
      </c>
      <c r="D318" s="156" t="s">
        <v>1262</v>
      </c>
      <c r="E318" s="157"/>
      <c r="F318" s="157">
        <v>39276.14</v>
      </c>
      <c r="G318" s="157">
        <f t="shared" si="4"/>
        <v>76728453.769999996</v>
      </c>
      <c r="H318" s="158"/>
      <c r="I318" s="158"/>
    </row>
    <row r="319" spans="2:9" s="126" customFormat="1" ht="15.95" customHeight="1">
      <c r="B319" s="154">
        <v>44434</v>
      </c>
      <c r="C319" s="155">
        <v>23834</v>
      </c>
      <c r="D319" s="156" t="s">
        <v>1263</v>
      </c>
      <c r="E319" s="157"/>
      <c r="F319" s="157">
        <v>42438.58</v>
      </c>
      <c r="G319" s="157">
        <f t="shared" si="4"/>
        <v>76686015.189999998</v>
      </c>
      <c r="H319" s="158"/>
      <c r="I319" s="158"/>
    </row>
    <row r="320" spans="2:9" s="126" customFormat="1" ht="15.95" customHeight="1">
      <c r="B320" s="154">
        <v>44434</v>
      </c>
      <c r="C320" s="155">
        <v>23781</v>
      </c>
      <c r="D320" s="156" t="s">
        <v>1264</v>
      </c>
      <c r="E320" s="157"/>
      <c r="F320" s="157">
        <v>43844.02</v>
      </c>
      <c r="G320" s="157">
        <f t="shared" si="4"/>
        <v>76642171.170000002</v>
      </c>
      <c r="H320" s="158"/>
      <c r="I320" s="158"/>
    </row>
    <row r="321" spans="2:9" s="126" customFormat="1" ht="15.95" customHeight="1">
      <c r="B321" s="154">
        <v>44434</v>
      </c>
      <c r="C321" s="155">
        <v>23872</v>
      </c>
      <c r="D321" s="156" t="s">
        <v>1265</v>
      </c>
      <c r="E321" s="157"/>
      <c r="F321" s="157">
        <v>48454.080000000002</v>
      </c>
      <c r="G321" s="157">
        <f t="shared" si="4"/>
        <v>76593717.090000004</v>
      </c>
      <c r="H321" s="158"/>
      <c r="I321" s="158"/>
    </row>
    <row r="322" spans="2:9" s="126" customFormat="1" ht="15.95" customHeight="1">
      <c r="B322" s="154">
        <v>44434</v>
      </c>
      <c r="C322" s="155">
        <v>23789</v>
      </c>
      <c r="D322" s="156" t="s">
        <v>1266</v>
      </c>
      <c r="E322" s="157"/>
      <c r="F322" s="157">
        <v>51821.07</v>
      </c>
      <c r="G322" s="157">
        <f t="shared" si="4"/>
        <v>76541896.020000011</v>
      </c>
      <c r="H322" s="158"/>
      <c r="I322" s="158"/>
    </row>
    <row r="323" spans="2:9" s="126" customFormat="1" ht="15.95" customHeight="1">
      <c r="B323" s="154">
        <v>44434</v>
      </c>
      <c r="C323" s="155">
        <v>23516</v>
      </c>
      <c r="D323" s="156" t="s">
        <v>1267</v>
      </c>
      <c r="E323" s="157"/>
      <c r="F323" s="157">
        <v>52177.35</v>
      </c>
      <c r="G323" s="157">
        <f t="shared" si="4"/>
        <v>76489718.670000017</v>
      </c>
      <c r="H323" s="158"/>
      <c r="I323" s="158"/>
    </row>
    <row r="324" spans="2:9" s="126" customFormat="1" ht="15.95" customHeight="1">
      <c r="B324" s="154">
        <v>44434</v>
      </c>
      <c r="C324" s="155">
        <v>23519</v>
      </c>
      <c r="D324" s="156" t="s">
        <v>1268</v>
      </c>
      <c r="E324" s="157"/>
      <c r="F324" s="157">
        <v>52177.35</v>
      </c>
      <c r="G324" s="157">
        <f t="shared" si="4"/>
        <v>76437541.320000023</v>
      </c>
      <c r="H324" s="158"/>
      <c r="I324" s="158"/>
    </row>
    <row r="325" spans="2:9" s="126" customFormat="1" ht="15.95" customHeight="1">
      <c r="B325" s="154">
        <v>44434</v>
      </c>
      <c r="C325" s="155">
        <v>23826</v>
      </c>
      <c r="D325" s="156" t="s">
        <v>1269</v>
      </c>
      <c r="E325" s="157"/>
      <c r="F325" s="157">
        <v>55275.81</v>
      </c>
      <c r="G325" s="157">
        <f t="shared" si="4"/>
        <v>76382265.51000002</v>
      </c>
      <c r="H325" s="158"/>
      <c r="I325" s="158"/>
    </row>
    <row r="326" spans="2:9" s="126" customFormat="1" ht="15.95" customHeight="1">
      <c r="B326" s="154">
        <v>44434</v>
      </c>
      <c r="C326" s="155">
        <v>23778</v>
      </c>
      <c r="D326" s="156" t="s">
        <v>1270</v>
      </c>
      <c r="E326" s="157"/>
      <c r="F326" s="157">
        <v>56028.06</v>
      </c>
      <c r="G326" s="157">
        <f t="shared" si="4"/>
        <v>76326237.450000018</v>
      </c>
      <c r="H326" s="158"/>
      <c r="I326" s="158"/>
    </row>
    <row r="327" spans="2:9" s="126" customFormat="1" ht="15.95" customHeight="1">
      <c r="B327" s="154">
        <v>44434</v>
      </c>
      <c r="C327" s="155">
        <v>23882</v>
      </c>
      <c r="D327" s="156" t="s">
        <v>1271</v>
      </c>
      <c r="E327" s="157"/>
      <c r="F327" s="157">
        <v>56478.43</v>
      </c>
      <c r="G327" s="157">
        <f t="shared" si="4"/>
        <v>76269759.020000011</v>
      </c>
      <c r="H327" s="158"/>
      <c r="I327" s="158"/>
    </row>
    <row r="328" spans="2:9" s="126" customFormat="1" ht="15.95" customHeight="1">
      <c r="B328" s="154">
        <v>44434</v>
      </c>
      <c r="C328" s="155">
        <v>23752</v>
      </c>
      <c r="D328" s="156" t="s">
        <v>1272</v>
      </c>
      <c r="E328" s="157"/>
      <c r="F328" s="157">
        <v>56733.68</v>
      </c>
      <c r="G328" s="157">
        <f t="shared" si="4"/>
        <v>76213025.340000004</v>
      </c>
      <c r="H328" s="158"/>
      <c r="I328" s="158"/>
    </row>
    <row r="329" spans="2:9" s="126" customFormat="1" ht="15.95" customHeight="1">
      <c r="B329" s="154">
        <v>44434</v>
      </c>
      <c r="C329" s="155">
        <v>23777</v>
      </c>
      <c r="D329" s="156" t="s">
        <v>1273</v>
      </c>
      <c r="E329" s="157"/>
      <c r="F329" s="157">
        <v>57741.89</v>
      </c>
      <c r="G329" s="157">
        <f t="shared" si="4"/>
        <v>76155283.450000003</v>
      </c>
      <c r="H329" s="158"/>
      <c r="I329" s="158"/>
    </row>
    <row r="330" spans="2:9" s="126" customFormat="1" ht="15.95" customHeight="1">
      <c r="B330" s="154">
        <v>44434</v>
      </c>
      <c r="C330" s="155">
        <v>23611</v>
      </c>
      <c r="D330" s="156" t="s">
        <v>1274</v>
      </c>
      <c r="E330" s="157"/>
      <c r="F330" s="157">
        <v>61327.43</v>
      </c>
      <c r="G330" s="157">
        <f t="shared" si="4"/>
        <v>76093956.019999996</v>
      </c>
      <c r="H330" s="158"/>
      <c r="I330" s="158"/>
    </row>
    <row r="331" spans="2:9" s="126" customFormat="1" ht="15.95" customHeight="1">
      <c r="B331" s="154">
        <v>44434</v>
      </c>
      <c r="C331" s="155">
        <v>23500</v>
      </c>
      <c r="D331" s="156" t="s">
        <v>1275</v>
      </c>
      <c r="E331" s="157"/>
      <c r="F331" s="157">
        <v>64689.11</v>
      </c>
      <c r="G331" s="157">
        <f t="shared" si="4"/>
        <v>76029266.909999996</v>
      </c>
      <c r="H331" s="158"/>
      <c r="I331" s="158"/>
    </row>
    <row r="332" spans="2:9" s="126" customFormat="1" ht="15.95" customHeight="1">
      <c r="B332" s="154">
        <v>44434</v>
      </c>
      <c r="C332" s="155">
        <v>23840</v>
      </c>
      <c r="D332" s="156" t="s">
        <v>1276</v>
      </c>
      <c r="E332" s="157"/>
      <c r="F332" s="157">
        <v>71743.86</v>
      </c>
      <c r="G332" s="157">
        <f t="shared" si="4"/>
        <v>75957523.049999997</v>
      </c>
      <c r="H332" s="158"/>
      <c r="I332" s="158"/>
    </row>
    <row r="333" spans="2:9" s="126" customFormat="1" ht="15.95" customHeight="1">
      <c r="B333" s="154">
        <v>44434</v>
      </c>
      <c r="C333" s="155">
        <v>23841</v>
      </c>
      <c r="D333" s="156" t="s">
        <v>1277</v>
      </c>
      <c r="E333" s="157"/>
      <c r="F333" s="157">
        <v>82042.77</v>
      </c>
      <c r="G333" s="157">
        <f t="shared" si="4"/>
        <v>75875480.280000001</v>
      </c>
      <c r="H333" s="158"/>
      <c r="I333" s="158"/>
    </row>
    <row r="334" spans="2:9" s="126" customFormat="1" ht="15.95" customHeight="1">
      <c r="B334" s="154">
        <v>44434</v>
      </c>
      <c r="C334" s="155">
        <v>23839</v>
      </c>
      <c r="D334" s="156" t="s">
        <v>1278</v>
      </c>
      <c r="E334" s="157"/>
      <c r="F334" s="157">
        <v>83189.89</v>
      </c>
      <c r="G334" s="157">
        <f t="shared" si="4"/>
        <v>75792290.390000001</v>
      </c>
      <c r="H334" s="158"/>
      <c r="I334" s="158"/>
    </row>
    <row r="335" spans="2:9" s="126" customFormat="1" ht="15.95" customHeight="1">
      <c r="B335" s="154">
        <v>44434</v>
      </c>
      <c r="C335" s="155">
        <v>23390</v>
      </c>
      <c r="D335" s="156" t="s">
        <v>1279</v>
      </c>
      <c r="E335" s="157"/>
      <c r="F335" s="157">
        <v>83458.7</v>
      </c>
      <c r="G335" s="157">
        <f t="shared" si="4"/>
        <v>75708831.689999998</v>
      </c>
      <c r="H335" s="158"/>
      <c r="I335" s="158"/>
    </row>
    <row r="336" spans="2:9" s="126" customFormat="1" ht="15.95" customHeight="1">
      <c r="B336" s="154">
        <v>44434</v>
      </c>
      <c r="C336" s="155">
        <v>23903</v>
      </c>
      <c r="D336" s="156" t="s">
        <v>1280</v>
      </c>
      <c r="E336" s="157"/>
      <c r="F336" s="157">
        <v>84202.43</v>
      </c>
      <c r="G336" s="157">
        <f t="shared" si="4"/>
        <v>75624629.25999999</v>
      </c>
      <c r="H336" s="158"/>
      <c r="I336" s="158"/>
    </row>
    <row r="337" spans="2:9" s="126" customFormat="1" ht="15.95" customHeight="1">
      <c r="B337" s="154">
        <v>44434</v>
      </c>
      <c r="C337" s="155">
        <v>23844</v>
      </c>
      <c r="D337" s="156" t="s">
        <v>1281</v>
      </c>
      <c r="E337" s="157"/>
      <c r="F337" s="157">
        <v>85125.37</v>
      </c>
      <c r="G337" s="157">
        <f t="shared" si="4"/>
        <v>75539503.889999986</v>
      </c>
      <c r="H337" s="158"/>
      <c r="I337" s="158"/>
    </row>
    <row r="338" spans="2:9" s="126" customFormat="1" ht="15.95" customHeight="1">
      <c r="B338" s="154">
        <v>44434</v>
      </c>
      <c r="C338" s="155">
        <v>23821</v>
      </c>
      <c r="D338" s="156" t="s">
        <v>1282</v>
      </c>
      <c r="E338" s="157"/>
      <c r="F338" s="157">
        <v>85354.63</v>
      </c>
      <c r="G338" s="157">
        <f t="shared" ref="G338:G401" si="5">+G337+E338-F338</f>
        <v>75454149.25999999</v>
      </c>
      <c r="H338" s="158"/>
      <c r="I338" s="158"/>
    </row>
    <row r="339" spans="2:9" s="126" customFormat="1" ht="15.95" customHeight="1">
      <c r="B339" s="154">
        <v>44434</v>
      </c>
      <c r="C339" s="155">
        <v>23779</v>
      </c>
      <c r="D339" s="156" t="s">
        <v>1283</v>
      </c>
      <c r="E339" s="157"/>
      <c r="F339" s="157">
        <v>87444.75</v>
      </c>
      <c r="G339" s="157">
        <f t="shared" si="5"/>
        <v>75366704.50999999</v>
      </c>
      <c r="H339" s="158"/>
      <c r="I339" s="158"/>
    </row>
    <row r="340" spans="2:9" s="126" customFormat="1" ht="15.95" customHeight="1">
      <c r="B340" s="154">
        <v>44434</v>
      </c>
      <c r="C340" s="155">
        <v>23830</v>
      </c>
      <c r="D340" s="156" t="s">
        <v>1284</v>
      </c>
      <c r="E340" s="157"/>
      <c r="F340" s="157">
        <v>89419.29</v>
      </c>
      <c r="G340" s="157">
        <f t="shared" si="5"/>
        <v>75277285.219999984</v>
      </c>
      <c r="H340" s="158"/>
      <c r="I340" s="158"/>
    </row>
    <row r="341" spans="2:9" s="126" customFormat="1" ht="15.95" customHeight="1">
      <c r="B341" s="154">
        <v>44434</v>
      </c>
      <c r="C341" s="155">
        <v>23788</v>
      </c>
      <c r="D341" s="156" t="s">
        <v>1285</v>
      </c>
      <c r="E341" s="157"/>
      <c r="F341" s="157">
        <v>90874.11</v>
      </c>
      <c r="G341" s="157">
        <f t="shared" si="5"/>
        <v>75186411.109999985</v>
      </c>
      <c r="H341" s="158"/>
      <c r="I341" s="158"/>
    </row>
    <row r="342" spans="2:9" s="126" customFormat="1" ht="15.95" customHeight="1">
      <c r="B342" s="154">
        <v>44434</v>
      </c>
      <c r="C342" s="155">
        <v>23604</v>
      </c>
      <c r="D342" s="156" t="s">
        <v>1286</v>
      </c>
      <c r="E342" s="157"/>
      <c r="F342" s="157">
        <v>91128.43</v>
      </c>
      <c r="G342" s="157">
        <f t="shared" si="5"/>
        <v>75095282.679999977</v>
      </c>
      <c r="H342" s="158"/>
      <c r="I342" s="158"/>
    </row>
    <row r="343" spans="2:9" s="126" customFormat="1" ht="15.95" customHeight="1">
      <c r="B343" s="154">
        <v>44434</v>
      </c>
      <c r="C343" s="155">
        <v>23838</v>
      </c>
      <c r="D343" s="156" t="s">
        <v>1287</v>
      </c>
      <c r="E343" s="157"/>
      <c r="F343" s="157">
        <v>104284.31</v>
      </c>
      <c r="G343" s="157">
        <f t="shared" si="5"/>
        <v>74990998.369999975</v>
      </c>
      <c r="H343" s="158"/>
      <c r="I343" s="158"/>
    </row>
    <row r="344" spans="2:9" s="126" customFormat="1" ht="15.95" customHeight="1">
      <c r="B344" s="154">
        <v>44434</v>
      </c>
      <c r="C344" s="155">
        <v>23745</v>
      </c>
      <c r="D344" s="156" t="s">
        <v>1288</v>
      </c>
      <c r="E344" s="157"/>
      <c r="F344" s="157">
        <v>105235.22</v>
      </c>
      <c r="G344" s="157">
        <f t="shared" si="5"/>
        <v>74885763.149999976</v>
      </c>
      <c r="H344" s="158"/>
      <c r="I344" s="158"/>
    </row>
    <row r="345" spans="2:9" s="126" customFormat="1" ht="15.95" customHeight="1">
      <c r="B345" s="154">
        <v>44434</v>
      </c>
      <c r="C345" s="155">
        <v>23881</v>
      </c>
      <c r="D345" s="156" t="s">
        <v>1289</v>
      </c>
      <c r="E345" s="157"/>
      <c r="F345" s="157">
        <v>105958.7</v>
      </c>
      <c r="G345" s="157">
        <f t="shared" si="5"/>
        <v>74779804.449999973</v>
      </c>
      <c r="H345" s="158"/>
      <c r="I345" s="158"/>
    </row>
    <row r="346" spans="2:9" s="126" customFormat="1" ht="15.95" customHeight="1">
      <c r="B346" s="154">
        <v>44434</v>
      </c>
      <c r="C346" s="155">
        <v>23565</v>
      </c>
      <c r="D346" s="156" t="s">
        <v>1290</v>
      </c>
      <c r="E346" s="157"/>
      <c r="F346" s="157">
        <v>106792.03</v>
      </c>
      <c r="G346" s="157">
        <f t="shared" si="5"/>
        <v>74673012.419999972</v>
      </c>
      <c r="H346" s="158"/>
      <c r="I346" s="158"/>
    </row>
    <row r="347" spans="2:9" s="126" customFormat="1" ht="15.95" customHeight="1">
      <c r="B347" s="154">
        <v>44434</v>
      </c>
      <c r="C347" s="155">
        <v>23511</v>
      </c>
      <c r="D347" s="156" t="s">
        <v>1291</v>
      </c>
      <c r="E347" s="157"/>
      <c r="F347" s="157">
        <v>109927.55</v>
      </c>
      <c r="G347" s="157">
        <f t="shared" si="5"/>
        <v>74563084.869999975</v>
      </c>
      <c r="H347" s="158"/>
      <c r="I347" s="158"/>
    </row>
    <row r="348" spans="2:9" s="126" customFormat="1" ht="15.95" customHeight="1">
      <c r="B348" s="154">
        <v>44434</v>
      </c>
      <c r="C348" s="155">
        <v>23784</v>
      </c>
      <c r="D348" s="156" t="s">
        <v>1292</v>
      </c>
      <c r="E348" s="157"/>
      <c r="F348" s="157">
        <v>111802.26</v>
      </c>
      <c r="G348" s="157">
        <f t="shared" si="5"/>
        <v>74451282.60999997</v>
      </c>
      <c r="H348" s="158"/>
      <c r="I348" s="158"/>
    </row>
    <row r="349" spans="2:9" s="126" customFormat="1" ht="15.95" customHeight="1">
      <c r="B349" s="154">
        <v>44434</v>
      </c>
      <c r="C349" s="155">
        <v>23886</v>
      </c>
      <c r="D349" s="156" t="s">
        <v>1293</v>
      </c>
      <c r="E349" s="157"/>
      <c r="F349" s="157">
        <v>113000</v>
      </c>
      <c r="G349" s="157">
        <f t="shared" si="5"/>
        <v>74338282.60999997</v>
      </c>
      <c r="H349" s="158"/>
      <c r="I349" s="158"/>
    </row>
    <row r="350" spans="2:9" s="126" customFormat="1" ht="15.95" customHeight="1">
      <c r="B350" s="154">
        <v>44434</v>
      </c>
      <c r="C350" s="155">
        <v>23824</v>
      </c>
      <c r="D350" s="156" t="s">
        <v>1294</v>
      </c>
      <c r="E350" s="157"/>
      <c r="F350" s="157">
        <v>113592.64</v>
      </c>
      <c r="G350" s="157">
        <f t="shared" si="5"/>
        <v>74224689.969999969</v>
      </c>
      <c r="H350" s="158"/>
      <c r="I350" s="158"/>
    </row>
    <row r="351" spans="2:9" s="126" customFormat="1" ht="15.95" customHeight="1">
      <c r="B351" s="154">
        <v>44434</v>
      </c>
      <c r="C351" s="155">
        <v>23836</v>
      </c>
      <c r="D351" s="156" t="s">
        <v>1295</v>
      </c>
      <c r="E351" s="157"/>
      <c r="F351" s="157">
        <v>115090.56</v>
      </c>
      <c r="G351" s="157">
        <f t="shared" si="5"/>
        <v>74109599.409999967</v>
      </c>
      <c r="H351" s="158"/>
      <c r="I351" s="158"/>
    </row>
    <row r="352" spans="2:9" s="126" customFormat="1" ht="15.95" customHeight="1">
      <c r="B352" s="154">
        <v>44434</v>
      </c>
      <c r="C352" s="155">
        <v>23835</v>
      </c>
      <c r="D352" s="156" t="s">
        <v>1296</v>
      </c>
      <c r="E352" s="157"/>
      <c r="F352" s="157">
        <v>118225.66</v>
      </c>
      <c r="G352" s="157">
        <f t="shared" si="5"/>
        <v>73991373.74999997</v>
      </c>
      <c r="H352" s="158"/>
      <c r="I352" s="158"/>
    </row>
    <row r="353" spans="2:9" s="126" customFormat="1" ht="15.95" customHeight="1">
      <c r="B353" s="154">
        <v>44434</v>
      </c>
      <c r="C353" s="155">
        <v>23819</v>
      </c>
      <c r="D353" s="156" t="s">
        <v>1297</v>
      </c>
      <c r="E353" s="157"/>
      <c r="F353" s="157">
        <v>121536.69</v>
      </c>
      <c r="G353" s="157">
        <f t="shared" si="5"/>
        <v>73869837.059999973</v>
      </c>
      <c r="H353" s="158"/>
      <c r="I353" s="158"/>
    </row>
    <row r="354" spans="2:9" s="126" customFormat="1" ht="15.95" customHeight="1">
      <c r="B354" s="154">
        <v>44434</v>
      </c>
      <c r="C354" s="155">
        <v>23906</v>
      </c>
      <c r="D354" s="156" t="s">
        <v>1298</v>
      </c>
      <c r="E354" s="157"/>
      <c r="F354" s="157">
        <v>122384.06</v>
      </c>
      <c r="G354" s="157">
        <f t="shared" si="5"/>
        <v>73747452.99999997</v>
      </c>
      <c r="H354" s="158"/>
      <c r="I354" s="158"/>
    </row>
    <row r="355" spans="2:9" s="126" customFormat="1" ht="15.95" customHeight="1">
      <c r="B355" s="154">
        <v>44434</v>
      </c>
      <c r="C355" s="155">
        <v>23843</v>
      </c>
      <c r="D355" s="156" t="s">
        <v>1299</v>
      </c>
      <c r="E355" s="157"/>
      <c r="F355" s="157">
        <v>125301.59</v>
      </c>
      <c r="G355" s="157">
        <f t="shared" si="5"/>
        <v>73622151.409999967</v>
      </c>
      <c r="H355" s="158"/>
      <c r="I355" s="158"/>
    </row>
    <row r="356" spans="2:9" s="126" customFormat="1" ht="15.95" customHeight="1">
      <c r="B356" s="154">
        <v>44434</v>
      </c>
      <c r="C356" s="155">
        <v>23783</v>
      </c>
      <c r="D356" s="156" t="s">
        <v>1300</v>
      </c>
      <c r="E356" s="157"/>
      <c r="F356" s="157">
        <v>127432.71</v>
      </c>
      <c r="G356" s="157">
        <f t="shared" si="5"/>
        <v>73494718.699999973</v>
      </c>
      <c r="H356" s="158"/>
      <c r="I356" s="158"/>
    </row>
    <row r="357" spans="2:9" s="126" customFormat="1" ht="15.95" customHeight="1">
      <c r="B357" s="154">
        <v>44434</v>
      </c>
      <c r="C357" s="155">
        <v>23907</v>
      </c>
      <c r="D357" s="156" t="s">
        <v>1301</v>
      </c>
      <c r="E357" s="157"/>
      <c r="F357" s="157">
        <v>130940.36</v>
      </c>
      <c r="G357" s="157">
        <f t="shared" si="5"/>
        <v>73363778.339999974</v>
      </c>
      <c r="H357" s="158"/>
      <c r="I357" s="158"/>
    </row>
    <row r="358" spans="2:9" s="126" customFormat="1" ht="15.95" customHeight="1">
      <c r="B358" s="154">
        <v>44434</v>
      </c>
      <c r="C358" s="155">
        <v>23750</v>
      </c>
      <c r="D358" s="156" t="s">
        <v>1302</v>
      </c>
      <c r="E358" s="157"/>
      <c r="F358" s="157">
        <v>134037.75</v>
      </c>
      <c r="G358" s="157">
        <f t="shared" si="5"/>
        <v>73229740.589999974</v>
      </c>
      <c r="H358" s="158"/>
      <c r="I358" s="158"/>
    </row>
    <row r="359" spans="2:9" s="126" customFormat="1" ht="15.95" customHeight="1">
      <c r="B359" s="154">
        <v>44434</v>
      </c>
      <c r="C359" s="155">
        <v>23880</v>
      </c>
      <c r="D359" s="156" t="s">
        <v>1303</v>
      </c>
      <c r="E359" s="157"/>
      <c r="F359" s="157">
        <v>150401.65</v>
      </c>
      <c r="G359" s="157">
        <f t="shared" si="5"/>
        <v>73079338.939999968</v>
      </c>
      <c r="H359" s="158"/>
      <c r="I359" s="158"/>
    </row>
    <row r="360" spans="2:9" s="126" customFormat="1" ht="15.95" customHeight="1">
      <c r="B360" s="154">
        <v>44434</v>
      </c>
      <c r="C360" s="155">
        <v>23885</v>
      </c>
      <c r="D360" s="156" t="s">
        <v>1304</v>
      </c>
      <c r="E360" s="157"/>
      <c r="F360" s="157">
        <v>150752.19</v>
      </c>
      <c r="G360" s="157">
        <f t="shared" si="5"/>
        <v>72928586.74999997</v>
      </c>
      <c r="H360" s="158"/>
      <c r="I360" s="158"/>
    </row>
    <row r="361" spans="2:9" s="126" customFormat="1" ht="15.95" customHeight="1">
      <c r="B361" s="154">
        <v>44434</v>
      </c>
      <c r="C361" s="155">
        <v>23614</v>
      </c>
      <c r="D361" s="156" t="s">
        <v>1305</v>
      </c>
      <c r="E361" s="157"/>
      <c r="F361" s="157">
        <v>151406.70000000001</v>
      </c>
      <c r="G361" s="157">
        <f t="shared" si="5"/>
        <v>72777180.049999967</v>
      </c>
      <c r="H361" s="158"/>
      <c r="I361" s="158"/>
    </row>
    <row r="362" spans="2:9" s="126" customFormat="1" ht="15.95" customHeight="1">
      <c r="B362" s="154">
        <v>44434</v>
      </c>
      <c r="C362" s="155">
        <v>23837</v>
      </c>
      <c r="D362" s="156" t="s">
        <v>1306</v>
      </c>
      <c r="E362" s="157"/>
      <c r="F362" s="157">
        <v>157380.71</v>
      </c>
      <c r="G362" s="157">
        <f t="shared" si="5"/>
        <v>72619799.339999974</v>
      </c>
      <c r="H362" s="158"/>
      <c r="I362" s="158"/>
    </row>
    <row r="363" spans="2:9" s="126" customFormat="1" ht="15.95" customHeight="1">
      <c r="B363" s="154">
        <v>44434</v>
      </c>
      <c r="C363" s="155">
        <v>23884</v>
      </c>
      <c r="D363" s="156" t="s">
        <v>1307</v>
      </c>
      <c r="E363" s="157"/>
      <c r="F363" s="157">
        <v>173547.05</v>
      </c>
      <c r="G363" s="157">
        <f t="shared" si="5"/>
        <v>72446252.289999977</v>
      </c>
      <c r="H363" s="158"/>
      <c r="I363" s="158"/>
    </row>
    <row r="364" spans="2:9" s="126" customFormat="1" ht="15.95" customHeight="1">
      <c r="B364" s="154">
        <v>44434</v>
      </c>
      <c r="C364" s="155">
        <v>23883</v>
      </c>
      <c r="D364" s="156" t="s">
        <v>1308</v>
      </c>
      <c r="E364" s="157"/>
      <c r="F364" s="157">
        <v>180987.82</v>
      </c>
      <c r="G364" s="157">
        <f t="shared" si="5"/>
        <v>72265264.469999984</v>
      </c>
      <c r="H364" s="158"/>
      <c r="I364" s="158"/>
    </row>
    <row r="365" spans="2:9" s="126" customFormat="1" ht="15.95" customHeight="1">
      <c r="B365" s="154">
        <v>44434</v>
      </c>
      <c r="C365" s="155">
        <v>23875</v>
      </c>
      <c r="D365" s="156" t="s">
        <v>1309</v>
      </c>
      <c r="E365" s="157"/>
      <c r="F365" s="157">
        <v>193580.12</v>
      </c>
      <c r="G365" s="157">
        <f t="shared" si="5"/>
        <v>72071684.349999979</v>
      </c>
      <c r="H365" s="158"/>
      <c r="I365" s="158"/>
    </row>
    <row r="366" spans="2:9" s="126" customFormat="1" ht="15.95" customHeight="1">
      <c r="B366" s="154">
        <v>44434</v>
      </c>
      <c r="C366" s="155">
        <v>23877</v>
      </c>
      <c r="D366" s="156" t="s">
        <v>1310</v>
      </c>
      <c r="E366" s="157"/>
      <c r="F366" s="157">
        <v>194609.14</v>
      </c>
      <c r="G366" s="157">
        <f t="shared" si="5"/>
        <v>71877075.209999979</v>
      </c>
      <c r="H366" s="158"/>
      <c r="I366" s="158"/>
    </row>
    <row r="367" spans="2:9" s="126" customFormat="1" ht="15.95" customHeight="1">
      <c r="B367" s="154">
        <v>44434</v>
      </c>
      <c r="C367" s="155">
        <v>23622</v>
      </c>
      <c r="D367" s="156" t="s">
        <v>1311</v>
      </c>
      <c r="E367" s="157"/>
      <c r="F367" s="157">
        <v>213085.45</v>
      </c>
      <c r="G367" s="157">
        <f t="shared" si="5"/>
        <v>71663989.759999976</v>
      </c>
      <c r="H367" s="158"/>
      <c r="I367" s="158"/>
    </row>
    <row r="368" spans="2:9" s="126" customFormat="1" ht="15.95" customHeight="1">
      <c r="B368" s="154">
        <v>44434</v>
      </c>
      <c r="C368" s="155">
        <v>23825</v>
      </c>
      <c r="D368" s="156" t="s">
        <v>1312</v>
      </c>
      <c r="E368" s="157"/>
      <c r="F368" s="157">
        <v>231318.14</v>
      </c>
      <c r="G368" s="157">
        <f t="shared" si="5"/>
        <v>71432671.619999975</v>
      </c>
      <c r="H368" s="158"/>
      <c r="I368" s="158"/>
    </row>
    <row r="369" spans="2:9" s="126" customFormat="1" ht="15.95" customHeight="1">
      <c r="B369" s="154">
        <v>44434</v>
      </c>
      <c r="C369" s="155">
        <v>23914</v>
      </c>
      <c r="D369" s="156" t="s">
        <v>1313</v>
      </c>
      <c r="E369" s="157"/>
      <c r="F369" s="157">
        <v>326646</v>
      </c>
      <c r="G369" s="157">
        <f t="shared" si="5"/>
        <v>71106025.619999975</v>
      </c>
      <c r="H369" s="158"/>
      <c r="I369" s="158"/>
    </row>
    <row r="370" spans="2:9" s="126" customFormat="1" ht="15.95" customHeight="1">
      <c r="B370" s="154">
        <v>44434</v>
      </c>
      <c r="C370" s="155">
        <v>23761</v>
      </c>
      <c r="D370" s="156" t="s">
        <v>1314</v>
      </c>
      <c r="E370" s="157"/>
      <c r="F370" s="157">
        <v>473459.39</v>
      </c>
      <c r="G370" s="157">
        <f t="shared" si="5"/>
        <v>70632566.229999974</v>
      </c>
      <c r="H370" s="158"/>
      <c r="I370" s="158"/>
    </row>
    <row r="371" spans="2:9" s="126" customFormat="1" ht="15.95" customHeight="1">
      <c r="B371" s="154">
        <v>44434</v>
      </c>
      <c r="C371" s="155">
        <v>23922</v>
      </c>
      <c r="D371" s="156" t="s">
        <v>1122</v>
      </c>
      <c r="E371" s="157"/>
      <c r="F371" s="157">
        <v>583474.36</v>
      </c>
      <c r="G371" s="157">
        <f t="shared" si="5"/>
        <v>70049091.869999975</v>
      </c>
      <c r="H371" s="158"/>
      <c r="I371" s="158"/>
    </row>
    <row r="372" spans="2:9" s="126" customFormat="1" ht="15.95" customHeight="1">
      <c r="B372" s="154">
        <v>44434</v>
      </c>
      <c r="C372" s="155">
        <v>23892</v>
      </c>
      <c r="D372" s="156" t="s">
        <v>1232</v>
      </c>
      <c r="E372" s="157"/>
      <c r="F372" s="157">
        <v>2017932.4</v>
      </c>
      <c r="G372" s="157">
        <f t="shared" si="5"/>
        <v>68031159.469999969</v>
      </c>
      <c r="H372" s="158"/>
      <c r="I372" s="158"/>
    </row>
    <row r="373" spans="2:9" s="126" customFormat="1" ht="15.95" customHeight="1">
      <c r="B373" s="154">
        <v>44434</v>
      </c>
      <c r="C373" s="155">
        <v>23769</v>
      </c>
      <c r="D373" s="156" t="s">
        <v>1106</v>
      </c>
      <c r="E373" s="157"/>
      <c r="F373" s="157">
        <v>10000000</v>
      </c>
      <c r="G373" s="157">
        <f t="shared" si="5"/>
        <v>58031159.469999969</v>
      </c>
      <c r="H373" s="158"/>
      <c r="I373" s="158"/>
    </row>
    <row r="374" spans="2:9" s="126" customFormat="1" ht="15.95" customHeight="1">
      <c r="B374" s="154">
        <v>44434</v>
      </c>
      <c r="C374" s="155">
        <v>23770</v>
      </c>
      <c r="D374" s="156" t="s">
        <v>1106</v>
      </c>
      <c r="E374" s="157"/>
      <c r="F374" s="157">
        <v>10000000</v>
      </c>
      <c r="G374" s="157">
        <f t="shared" si="5"/>
        <v>48031159.469999969</v>
      </c>
      <c r="H374" s="158"/>
      <c r="I374" s="158"/>
    </row>
    <row r="375" spans="2:9" s="126" customFormat="1" ht="15.95" customHeight="1">
      <c r="B375" s="154">
        <v>44434</v>
      </c>
      <c r="C375" s="155">
        <v>23771</v>
      </c>
      <c r="D375" s="156" t="s">
        <v>1106</v>
      </c>
      <c r="E375" s="157"/>
      <c r="F375" s="157">
        <v>10000000</v>
      </c>
      <c r="G375" s="157">
        <f t="shared" si="5"/>
        <v>38031159.469999969</v>
      </c>
      <c r="H375" s="158"/>
      <c r="I375" s="158"/>
    </row>
    <row r="376" spans="2:9" s="126" customFormat="1" ht="15.95" customHeight="1">
      <c r="B376" s="154">
        <v>44434</v>
      </c>
      <c r="C376" s="155">
        <v>23772</v>
      </c>
      <c r="D376" s="156" t="s">
        <v>1106</v>
      </c>
      <c r="E376" s="157"/>
      <c r="F376" s="157">
        <v>10000000</v>
      </c>
      <c r="G376" s="157">
        <f t="shared" si="5"/>
        <v>28031159.469999969</v>
      </c>
      <c r="H376" s="158"/>
      <c r="I376" s="158"/>
    </row>
    <row r="377" spans="2:9" s="126" customFormat="1" ht="15.95" customHeight="1">
      <c r="B377" s="154">
        <v>44434</v>
      </c>
      <c r="C377" s="155">
        <v>23773</v>
      </c>
      <c r="D377" s="156" t="s">
        <v>1106</v>
      </c>
      <c r="E377" s="157"/>
      <c r="F377" s="157">
        <v>10000000</v>
      </c>
      <c r="G377" s="157">
        <f t="shared" si="5"/>
        <v>18031159.469999969</v>
      </c>
      <c r="H377" s="158"/>
      <c r="I377" s="158"/>
    </row>
    <row r="378" spans="2:9" s="126" customFormat="1" ht="15.95" customHeight="1">
      <c r="B378" s="154">
        <v>44434</v>
      </c>
      <c r="C378" s="155">
        <v>24202949735</v>
      </c>
      <c r="D378" s="156" t="s">
        <v>1106</v>
      </c>
      <c r="E378" s="157"/>
      <c r="F378" s="157">
        <v>1800000</v>
      </c>
      <c r="G378" s="157">
        <f t="shared" si="5"/>
        <v>16231159.469999969</v>
      </c>
      <c r="H378" s="158"/>
      <c r="I378" s="158"/>
    </row>
    <row r="379" spans="2:9" s="126" customFormat="1" ht="15.95" customHeight="1">
      <c r="B379" s="154">
        <v>44434</v>
      </c>
      <c r="C379" s="155" t="s">
        <v>1315</v>
      </c>
      <c r="D379" s="156" t="s">
        <v>1316</v>
      </c>
      <c r="E379" s="157"/>
      <c r="F379" s="157">
        <v>575356.93000000005</v>
      </c>
      <c r="G379" s="157">
        <f t="shared" si="5"/>
        <v>15655802.539999969</v>
      </c>
      <c r="H379" s="158"/>
      <c r="I379" s="158"/>
    </row>
    <row r="380" spans="2:9" s="126" customFormat="1" ht="15.95" customHeight="1">
      <c r="B380" s="154">
        <v>44435</v>
      </c>
      <c r="C380" s="155">
        <v>463197434</v>
      </c>
      <c r="D380" s="156" t="s">
        <v>1064</v>
      </c>
      <c r="E380" s="157">
        <v>1700</v>
      </c>
      <c r="F380" s="157"/>
      <c r="G380" s="157">
        <f t="shared" si="5"/>
        <v>15657502.539999969</v>
      </c>
      <c r="H380" s="158"/>
      <c r="I380" s="158"/>
    </row>
    <row r="381" spans="2:9" s="126" customFormat="1" ht="15.95" customHeight="1">
      <c r="B381" s="154">
        <v>44435</v>
      </c>
      <c r="C381" s="155">
        <v>463197433</v>
      </c>
      <c r="D381" s="156" t="s">
        <v>1064</v>
      </c>
      <c r="E381" s="157">
        <v>511348</v>
      </c>
      <c r="F381" s="157"/>
      <c r="G381" s="157">
        <f t="shared" si="5"/>
        <v>16168850.539999969</v>
      </c>
      <c r="H381" s="158"/>
      <c r="I381" s="158"/>
    </row>
    <row r="382" spans="2:9" s="126" customFormat="1" ht="15.95" customHeight="1">
      <c r="B382" s="154">
        <v>44435</v>
      </c>
      <c r="C382" s="155">
        <v>463197432</v>
      </c>
      <c r="D382" s="156" t="s">
        <v>1064</v>
      </c>
      <c r="E382" s="157">
        <v>10800</v>
      </c>
      <c r="F382" s="157"/>
      <c r="G382" s="157">
        <f t="shared" si="5"/>
        <v>16179650.539999969</v>
      </c>
      <c r="H382" s="158"/>
      <c r="I382" s="158"/>
    </row>
    <row r="383" spans="2:9" s="126" customFormat="1" ht="15.95" customHeight="1">
      <c r="B383" s="154">
        <v>44435</v>
      </c>
      <c r="C383" s="155">
        <v>463197431</v>
      </c>
      <c r="D383" s="156" t="s">
        <v>1064</v>
      </c>
      <c r="E383" s="157">
        <v>304401</v>
      </c>
      <c r="F383" s="157"/>
      <c r="G383" s="157">
        <f t="shared" si="5"/>
        <v>16484051.539999969</v>
      </c>
      <c r="H383" s="158"/>
      <c r="I383" s="158"/>
    </row>
    <row r="384" spans="2:9" s="126" customFormat="1" ht="15.95" customHeight="1">
      <c r="B384" s="154">
        <v>44435</v>
      </c>
      <c r="C384" s="155">
        <v>19617187</v>
      </c>
      <c r="D384" s="156" t="s">
        <v>1064</v>
      </c>
      <c r="E384" s="157">
        <v>10000000</v>
      </c>
      <c r="F384" s="157"/>
      <c r="G384" s="157">
        <f t="shared" si="5"/>
        <v>26484051.539999969</v>
      </c>
      <c r="H384" s="158"/>
      <c r="I384" s="158"/>
    </row>
    <row r="385" spans="2:9" s="126" customFormat="1" ht="15.95" customHeight="1">
      <c r="B385" s="154">
        <v>44435</v>
      </c>
      <c r="C385" s="155">
        <v>19617193</v>
      </c>
      <c r="D385" s="156" t="s">
        <v>1064</v>
      </c>
      <c r="E385" s="157">
        <v>1411288</v>
      </c>
      <c r="F385" s="157"/>
      <c r="G385" s="157">
        <f t="shared" si="5"/>
        <v>27895339.539999969</v>
      </c>
      <c r="H385" s="158"/>
      <c r="I385" s="158"/>
    </row>
    <row r="386" spans="2:9" s="126" customFormat="1" ht="15.95" customHeight="1">
      <c r="B386" s="154">
        <v>44435</v>
      </c>
      <c r="C386" s="155">
        <v>19617192</v>
      </c>
      <c r="D386" s="156" t="s">
        <v>1064</v>
      </c>
      <c r="E386" s="157">
        <v>2111317</v>
      </c>
      <c r="F386" s="157"/>
      <c r="G386" s="157">
        <f t="shared" si="5"/>
        <v>30006656.539999969</v>
      </c>
      <c r="H386" s="158"/>
      <c r="I386" s="158"/>
    </row>
    <row r="387" spans="2:9" s="126" customFormat="1" ht="15.95" customHeight="1">
      <c r="B387" s="154">
        <v>44435</v>
      </c>
      <c r="C387" s="155">
        <v>19617187</v>
      </c>
      <c r="D387" s="156" t="s">
        <v>1064</v>
      </c>
      <c r="E387" s="157">
        <v>5000000</v>
      </c>
      <c r="F387" s="157"/>
      <c r="G387" s="157">
        <f t="shared" si="5"/>
        <v>35006656.539999969</v>
      </c>
      <c r="H387" s="158"/>
      <c r="I387" s="158"/>
    </row>
    <row r="388" spans="2:9" s="126" customFormat="1" ht="15.95" customHeight="1">
      <c r="B388" s="154">
        <v>44435</v>
      </c>
      <c r="C388" s="155">
        <v>23917</v>
      </c>
      <c r="D388" s="156" t="s">
        <v>1317</v>
      </c>
      <c r="E388" s="157"/>
      <c r="F388" s="157">
        <v>2346.1799999999998</v>
      </c>
      <c r="G388" s="157">
        <f t="shared" si="5"/>
        <v>35004310.35999997</v>
      </c>
      <c r="H388" s="158"/>
      <c r="I388" s="158"/>
    </row>
    <row r="389" spans="2:9" s="126" customFormat="1" ht="15.95" customHeight="1">
      <c r="B389" s="154">
        <v>44435</v>
      </c>
      <c r="C389" s="155">
        <v>23888</v>
      </c>
      <c r="D389" s="156" t="s">
        <v>1318</v>
      </c>
      <c r="E389" s="157"/>
      <c r="F389" s="157">
        <v>108737.75</v>
      </c>
      <c r="G389" s="157">
        <f t="shared" si="5"/>
        <v>34895572.60999997</v>
      </c>
      <c r="H389" s="158"/>
      <c r="I389" s="158"/>
    </row>
    <row r="390" spans="2:9" s="126" customFormat="1" ht="15.95" customHeight="1">
      <c r="B390" s="154">
        <v>44435</v>
      </c>
      <c r="C390" s="155">
        <v>23961</v>
      </c>
      <c r="D390" s="156" t="s">
        <v>349</v>
      </c>
      <c r="E390" s="157"/>
      <c r="F390" s="157">
        <v>213824</v>
      </c>
      <c r="G390" s="157">
        <f t="shared" si="5"/>
        <v>34681748.60999997</v>
      </c>
      <c r="H390" s="158"/>
      <c r="I390" s="158"/>
    </row>
    <row r="391" spans="2:9" s="126" customFormat="1" ht="15.95" customHeight="1">
      <c r="B391" s="154">
        <v>44435</v>
      </c>
      <c r="C391" s="155">
        <v>23910</v>
      </c>
      <c r="D391" s="156" t="s">
        <v>1319</v>
      </c>
      <c r="E391" s="157"/>
      <c r="F391" s="157">
        <v>581592.47</v>
      </c>
      <c r="G391" s="157">
        <f t="shared" si="5"/>
        <v>34100156.139999971</v>
      </c>
      <c r="H391" s="158"/>
      <c r="I391" s="158"/>
    </row>
    <row r="392" spans="2:9" s="126" customFormat="1" ht="15.95" customHeight="1">
      <c r="B392" s="154">
        <v>44435</v>
      </c>
      <c r="C392" s="155">
        <v>23999</v>
      </c>
      <c r="D392" s="156" t="s">
        <v>1106</v>
      </c>
      <c r="E392" s="157"/>
      <c r="F392" s="157">
        <v>828249</v>
      </c>
      <c r="G392" s="157">
        <f t="shared" si="5"/>
        <v>33271907.139999971</v>
      </c>
      <c r="H392" s="158"/>
      <c r="I392" s="158"/>
    </row>
    <row r="393" spans="2:9" s="126" customFormat="1" ht="15.95" customHeight="1">
      <c r="B393" s="154">
        <v>44435</v>
      </c>
      <c r="C393" s="155">
        <v>23889</v>
      </c>
      <c r="D393" s="156" t="s">
        <v>1184</v>
      </c>
      <c r="E393" s="157"/>
      <c r="F393" s="157">
        <v>983886.83</v>
      </c>
      <c r="G393" s="157">
        <f t="shared" si="5"/>
        <v>32288020.309999973</v>
      </c>
      <c r="H393" s="158"/>
      <c r="I393" s="158"/>
    </row>
    <row r="394" spans="2:9" s="126" customFormat="1" ht="15.95" customHeight="1">
      <c r="B394" s="154">
        <v>44435</v>
      </c>
      <c r="C394" s="155">
        <v>23962</v>
      </c>
      <c r="D394" s="156" t="s">
        <v>349</v>
      </c>
      <c r="E394" s="157"/>
      <c r="F394" s="157">
        <v>1207415.8700000001</v>
      </c>
      <c r="G394" s="157">
        <f t="shared" si="5"/>
        <v>31080604.439999972</v>
      </c>
      <c r="H394" s="158"/>
      <c r="I394" s="158"/>
    </row>
    <row r="395" spans="2:9" s="126" customFormat="1" ht="15.95" customHeight="1">
      <c r="B395" s="154">
        <v>44435</v>
      </c>
      <c r="C395" s="155">
        <v>23925</v>
      </c>
      <c r="D395" s="156" t="s">
        <v>1320</v>
      </c>
      <c r="E395" s="157"/>
      <c r="F395" s="157">
        <v>3000000</v>
      </c>
      <c r="G395" s="157">
        <f t="shared" si="5"/>
        <v>28080604.439999972</v>
      </c>
      <c r="H395" s="158"/>
      <c r="I395" s="158"/>
    </row>
    <row r="396" spans="2:9" s="126" customFormat="1" ht="15.95" customHeight="1">
      <c r="B396" s="154">
        <v>44435</v>
      </c>
      <c r="C396" s="155">
        <v>23963</v>
      </c>
      <c r="D396" s="156" t="s">
        <v>1321</v>
      </c>
      <c r="E396" s="157"/>
      <c r="F396" s="157">
        <v>8292085.7199999997</v>
      </c>
      <c r="G396" s="157">
        <f t="shared" si="5"/>
        <v>19788518.719999973</v>
      </c>
      <c r="H396" s="158"/>
      <c r="I396" s="158"/>
    </row>
    <row r="397" spans="2:9" s="126" customFormat="1" ht="15.95" customHeight="1">
      <c r="B397" s="154">
        <v>44435</v>
      </c>
      <c r="C397" s="155">
        <v>24212605159</v>
      </c>
      <c r="D397" s="156" t="s">
        <v>1106</v>
      </c>
      <c r="E397" s="157"/>
      <c r="F397" s="157">
        <v>4300000</v>
      </c>
      <c r="G397" s="157">
        <f t="shared" si="5"/>
        <v>15488518.719999973</v>
      </c>
      <c r="H397" s="158"/>
      <c r="I397" s="158"/>
    </row>
    <row r="398" spans="2:9" s="126" customFormat="1" ht="15.95" customHeight="1">
      <c r="B398" s="154">
        <v>44438</v>
      </c>
      <c r="C398" s="155">
        <v>24236418459</v>
      </c>
      <c r="D398" s="156" t="s">
        <v>1064</v>
      </c>
      <c r="E398" s="157">
        <v>200000</v>
      </c>
      <c r="F398" s="157"/>
      <c r="G398" s="157">
        <f t="shared" si="5"/>
        <v>15688518.719999973</v>
      </c>
      <c r="H398" s="158"/>
      <c r="I398" s="158"/>
    </row>
    <row r="399" spans="2:9" s="126" customFormat="1" ht="15.95" customHeight="1">
      <c r="B399" s="154">
        <v>44438</v>
      </c>
      <c r="C399" s="155">
        <v>24236362631</v>
      </c>
      <c r="D399" s="156" t="s">
        <v>1064</v>
      </c>
      <c r="E399" s="157">
        <v>900000</v>
      </c>
      <c r="F399" s="157"/>
      <c r="G399" s="157">
        <f t="shared" si="5"/>
        <v>16588518.719999973</v>
      </c>
      <c r="H399" s="158"/>
      <c r="I399" s="158"/>
    </row>
    <row r="400" spans="2:9" s="126" customFormat="1" ht="15.95" customHeight="1">
      <c r="B400" s="154">
        <v>44438</v>
      </c>
      <c r="C400" s="155">
        <v>24234043902</v>
      </c>
      <c r="D400" s="156" t="s">
        <v>1064</v>
      </c>
      <c r="E400" s="157">
        <v>144000</v>
      </c>
      <c r="F400" s="157"/>
      <c r="G400" s="157">
        <f t="shared" si="5"/>
        <v>16732518.719999973</v>
      </c>
      <c r="H400" s="158"/>
      <c r="I400" s="158"/>
    </row>
    <row r="401" spans="2:9" s="126" customFormat="1" ht="15.95" customHeight="1">
      <c r="B401" s="154">
        <v>44438</v>
      </c>
      <c r="C401" s="155">
        <v>19617189</v>
      </c>
      <c r="D401" s="156" t="s">
        <v>1064</v>
      </c>
      <c r="E401" s="157">
        <v>5000000</v>
      </c>
      <c r="F401" s="157"/>
      <c r="G401" s="157">
        <f t="shared" si="5"/>
        <v>21732518.719999973</v>
      </c>
      <c r="H401" s="158"/>
      <c r="I401" s="158"/>
    </row>
    <row r="402" spans="2:9" s="126" customFormat="1" ht="15.95" customHeight="1">
      <c r="B402" s="154">
        <v>44438</v>
      </c>
      <c r="C402" s="155">
        <v>23550</v>
      </c>
      <c r="D402" s="156" t="s">
        <v>1322</v>
      </c>
      <c r="E402" s="157"/>
      <c r="F402" s="157">
        <v>21344.02</v>
      </c>
      <c r="G402" s="157">
        <f t="shared" ref="G402:G443" si="6">+G401+E402-F402</f>
        <v>21711174.699999973</v>
      </c>
      <c r="H402" s="158"/>
      <c r="I402" s="158"/>
    </row>
    <row r="403" spans="2:9" s="126" customFormat="1" ht="15.95" customHeight="1">
      <c r="B403" s="154">
        <v>44438</v>
      </c>
      <c r="C403" s="155">
        <v>23557</v>
      </c>
      <c r="D403" s="156" t="s">
        <v>1323</v>
      </c>
      <c r="E403" s="157"/>
      <c r="F403" s="157">
        <v>25255.34</v>
      </c>
      <c r="G403" s="157">
        <f t="shared" si="6"/>
        <v>21685919.359999973</v>
      </c>
      <c r="H403" s="158"/>
      <c r="I403" s="158"/>
    </row>
    <row r="404" spans="2:9" s="126" customFormat="1" ht="15.95" customHeight="1">
      <c r="B404" s="154">
        <v>44438</v>
      </c>
      <c r="C404" s="155">
        <v>23740</v>
      </c>
      <c r="D404" s="156" t="s">
        <v>1324</v>
      </c>
      <c r="E404" s="157"/>
      <c r="F404" s="157">
        <v>28250</v>
      </c>
      <c r="G404" s="157">
        <f t="shared" si="6"/>
        <v>21657669.359999973</v>
      </c>
      <c r="H404" s="158"/>
      <c r="I404" s="158"/>
    </row>
    <row r="405" spans="2:9" s="126" customFormat="1" ht="15.95" customHeight="1">
      <c r="B405" s="154">
        <v>44438</v>
      </c>
      <c r="C405" s="155">
        <v>23559</v>
      </c>
      <c r="D405" s="156" t="s">
        <v>1325</v>
      </c>
      <c r="E405" s="157"/>
      <c r="F405" s="157">
        <v>30649.11</v>
      </c>
      <c r="G405" s="157">
        <f t="shared" si="6"/>
        <v>21627020.249999974</v>
      </c>
      <c r="H405" s="158"/>
      <c r="I405" s="158"/>
    </row>
    <row r="406" spans="2:9" s="126" customFormat="1" ht="15.95" customHeight="1">
      <c r="B406" s="154">
        <v>44438</v>
      </c>
      <c r="C406" s="155">
        <v>23552</v>
      </c>
      <c r="D406" s="156" t="s">
        <v>1326</v>
      </c>
      <c r="E406" s="157"/>
      <c r="F406" s="157">
        <v>93772.12</v>
      </c>
      <c r="G406" s="157">
        <f t="shared" si="6"/>
        <v>21533248.129999973</v>
      </c>
      <c r="H406" s="158"/>
      <c r="I406" s="158"/>
    </row>
    <row r="407" spans="2:9" s="126" customFormat="1" ht="15.95" customHeight="1">
      <c r="B407" s="154">
        <v>44438</v>
      </c>
      <c r="C407" s="155">
        <v>23951</v>
      </c>
      <c r="D407" s="156" t="s">
        <v>1327</v>
      </c>
      <c r="E407" s="157"/>
      <c r="F407" s="157">
        <v>95683.3</v>
      </c>
      <c r="G407" s="157">
        <f t="shared" si="6"/>
        <v>21437564.829999972</v>
      </c>
      <c r="H407" s="158"/>
      <c r="I407" s="158"/>
    </row>
    <row r="408" spans="2:9" s="126" customFormat="1" ht="15.95" customHeight="1">
      <c r="B408" s="154">
        <v>44438</v>
      </c>
      <c r="C408" s="155">
        <v>23916</v>
      </c>
      <c r="D408" s="156" t="s">
        <v>1328</v>
      </c>
      <c r="E408" s="157"/>
      <c r="F408" s="157">
        <v>125712.5</v>
      </c>
      <c r="G408" s="157">
        <f t="shared" si="6"/>
        <v>21311852.329999972</v>
      </c>
      <c r="H408" s="158"/>
      <c r="I408" s="158"/>
    </row>
    <row r="409" spans="2:9" s="126" customFormat="1" ht="15.95" customHeight="1">
      <c r="B409" s="154">
        <v>44438</v>
      </c>
      <c r="C409" s="155">
        <v>23546</v>
      </c>
      <c r="D409" s="156" t="s">
        <v>1329</v>
      </c>
      <c r="E409" s="157"/>
      <c r="F409" s="157">
        <v>182305.03</v>
      </c>
      <c r="G409" s="157">
        <f t="shared" si="6"/>
        <v>21129547.299999971</v>
      </c>
      <c r="H409" s="158"/>
      <c r="I409" s="158"/>
    </row>
    <row r="410" spans="2:9" s="126" customFormat="1" ht="15.95" customHeight="1">
      <c r="B410" s="154">
        <v>44438</v>
      </c>
      <c r="C410" s="155">
        <v>23547</v>
      </c>
      <c r="D410" s="156" t="s">
        <v>1330</v>
      </c>
      <c r="E410" s="157"/>
      <c r="F410" s="157">
        <v>225013.14</v>
      </c>
      <c r="G410" s="157">
        <f t="shared" si="6"/>
        <v>20904534.15999997</v>
      </c>
      <c r="H410" s="158"/>
      <c r="I410" s="158"/>
    </row>
    <row r="411" spans="2:9" s="126" customFormat="1" ht="15.95" customHeight="1">
      <c r="B411" s="154">
        <v>44438</v>
      </c>
      <c r="C411" s="155">
        <v>23524</v>
      </c>
      <c r="D411" s="156" t="s">
        <v>1331</v>
      </c>
      <c r="E411" s="157"/>
      <c r="F411" s="157">
        <v>253877.76000000001</v>
      </c>
      <c r="G411" s="157">
        <f t="shared" si="6"/>
        <v>20650656.399999969</v>
      </c>
      <c r="H411" s="158"/>
      <c r="I411" s="158"/>
    </row>
    <row r="412" spans="2:9" s="126" customFormat="1" ht="15.95" customHeight="1">
      <c r="B412" s="154">
        <v>44438</v>
      </c>
      <c r="C412" s="155">
        <v>23913</v>
      </c>
      <c r="D412" s="156" t="s">
        <v>1070</v>
      </c>
      <c r="E412" s="157"/>
      <c r="F412" s="157">
        <v>267854.06</v>
      </c>
      <c r="G412" s="157">
        <f t="shared" si="6"/>
        <v>20382802.33999997</v>
      </c>
      <c r="H412" s="158"/>
      <c r="I412" s="158"/>
    </row>
    <row r="413" spans="2:9" s="126" customFormat="1" ht="15.95" customHeight="1">
      <c r="B413" s="154">
        <v>44438</v>
      </c>
      <c r="C413" s="155">
        <v>23680</v>
      </c>
      <c r="D413" s="156" t="s">
        <v>1131</v>
      </c>
      <c r="E413" s="157"/>
      <c r="F413" s="157">
        <v>462204</v>
      </c>
      <c r="G413" s="157">
        <f t="shared" si="6"/>
        <v>19920598.33999997</v>
      </c>
      <c r="H413" s="158"/>
      <c r="I413" s="158"/>
    </row>
    <row r="414" spans="2:9" s="126" customFormat="1" ht="15.95" customHeight="1">
      <c r="B414" s="154">
        <v>44438</v>
      </c>
      <c r="C414" s="155">
        <v>23912</v>
      </c>
      <c r="D414" s="156" t="s">
        <v>1096</v>
      </c>
      <c r="E414" s="157"/>
      <c r="F414" s="157">
        <v>552009</v>
      </c>
      <c r="G414" s="157">
        <f t="shared" si="6"/>
        <v>19368589.33999997</v>
      </c>
      <c r="H414" s="158"/>
      <c r="I414" s="158"/>
    </row>
    <row r="415" spans="2:9" s="126" customFormat="1" ht="15.95" customHeight="1">
      <c r="B415" s="154">
        <v>44438</v>
      </c>
      <c r="C415" s="155">
        <v>23918</v>
      </c>
      <c r="D415" s="156" t="s">
        <v>1332</v>
      </c>
      <c r="E415" s="157"/>
      <c r="F415" s="157">
        <v>948547.11</v>
      </c>
      <c r="G415" s="157">
        <f t="shared" si="6"/>
        <v>18420042.229999971</v>
      </c>
      <c r="H415" s="158"/>
      <c r="I415" s="158"/>
    </row>
    <row r="416" spans="2:9" s="126" customFormat="1" ht="15.95" customHeight="1">
      <c r="B416" s="154">
        <v>44438</v>
      </c>
      <c r="C416" s="155">
        <v>23979</v>
      </c>
      <c r="D416" s="156" t="s">
        <v>1333</v>
      </c>
      <c r="E416" s="157"/>
      <c r="F416" s="157">
        <v>2850000</v>
      </c>
      <c r="G416" s="157">
        <f t="shared" si="6"/>
        <v>15570042.229999971</v>
      </c>
      <c r="H416" s="158"/>
      <c r="I416" s="158"/>
    </row>
    <row r="417" spans="2:9" s="126" customFormat="1" ht="15.95" customHeight="1">
      <c r="B417" s="154">
        <v>44438</v>
      </c>
      <c r="C417" s="155">
        <v>24236408572</v>
      </c>
      <c r="D417" s="156" t="s">
        <v>1106</v>
      </c>
      <c r="E417" s="157"/>
      <c r="F417" s="157">
        <v>100000</v>
      </c>
      <c r="G417" s="157">
        <f t="shared" si="6"/>
        <v>15470042.229999971</v>
      </c>
      <c r="H417" s="158"/>
      <c r="I417" s="158"/>
    </row>
    <row r="418" spans="2:9" s="126" customFormat="1" ht="15.95" customHeight="1">
      <c r="B418" s="154">
        <v>44439</v>
      </c>
      <c r="C418" s="155">
        <v>463176441</v>
      </c>
      <c r="D418" s="156" t="s">
        <v>1064</v>
      </c>
      <c r="E418" s="157">
        <v>94292</v>
      </c>
      <c r="F418" s="157"/>
      <c r="G418" s="157">
        <f t="shared" si="6"/>
        <v>15564334.229999971</v>
      </c>
      <c r="H418" s="158"/>
      <c r="I418" s="158"/>
    </row>
    <row r="419" spans="2:9" s="126" customFormat="1" ht="15.95" customHeight="1">
      <c r="B419" s="154">
        <v>44439</v>
      </c>
      <c r="C419" s="155">
        <v>463176434</v>
      </c>
      <c r="D419" s="156" t="s">
        <v>1064</v>
      </c>
      <c r="E419" s="157">
        <v>1731506</v>
      </c>
      <c r="F419" s="157"/>
      <c r="G419" s="157">
        <f t="shared" si="6"/>
        <v>17295840.229999971</v>
      </c>
      <c r="H419" s="158"/>
      <c r="I419" s="158"/>
    </row>
    <row r="420" spans="2:9" s="126" customFormat="1" ht="15.95" customHeight="1">
      <c r="B420" s="154">
        <v>44439</v>
      </c>
      <c r="C420" s="155">
        <v>19617155</v>
      </c>
      <c r="D420" s="156" t="s">
        <v>1064</v>
      </c>
      <c r="E420" s="157">
        <v>10000000</v>
      </c>
      <c r="F420" s="157"/>
      <c r="G420" s="157">
        <f t="shared" si="6"/>
        <v>27295840.229999971</v>
      </c>
      <c r="H420" s="158"/>
      <c r="I420" s="158"/>
    </row>
    <row r="421" spans="2:9" s="126" customFormat="1" ht="15.95" customHeight="1">
      <c r="B421" s="154">
        <v>44439</v>
      </c>
      <c r="C421" s="155">
        <v>19617154</v>
      </c>
      <c r="D421" s="156" t="s">
        <v>1064</v>
      </c>
      <c r="E421" s="157">
        <v>10000000</v>
      </c>
      <c r="F421" s="157"/>
      <c r="G421" s="157">
        <f t="shared" si="6"/>
        <v>37295840.229999974</v>
      </c>
      <c r="H421" s="158"/>
      <c r="I421" s="158"/>
    </row>
    <row r="422" spans="2:9" s="126" customFormat="1" ht="15.95" customHeight="1">
      <c r="B422" s="154">
        <v>44439</v>
      </c>
      <c r="C422" s="155">
        <v>23983</v>
      </c>
      <c r="D422" s="156" t="s">
        <v>1334</v>
      </c>
      <c r="E422" s="157"/>
      <c r="F422" s="157">
        <v>22974.26</v>
      </c>
      <c r="G422" s="157">
        <f t="shared" si="6"/>
        <v>37272865.969999976</v>
      </c>
      <c r="H422" s="158"/>
      <c r="I422" s="158"/>
    </row>
    <row r="423" spans="2:9" s="126" customFormat="1" ht="15.95" customHeight="1">
      <c r="B423" s="154">
        <v>44439</v>
      </c>
      <c r="C423" s="155">
        <v>23534</v>
      </c>
      <c r="D423" s="156" t="s">
        <v>1335</v>
      </c>
      <c r="E423" s="157"/>
      <c r="F423" s="157">
        <v>57270.39</v>
      </c>
      <c r="G423" s="157">
        <f t="shared" si="6"/>
        <v>37215595.579999976</v>
      </c>
      <c r="H423" s="158"/>
      <c r="I423" s="158"/>
    </row>
    <row r="424" spans="2:9" s="126" customFormat="1" ht="15.95" customHeight="1">
      <c r="B424" s="154">
        <v>44439</v>
      </c>
      <c r="C424" s="155">
        <v>23491</v>
      </c>
      <c r="D424" s="156" t="s">
        <v>1336</v>
      </c>
      <c r="E424" s="157"/>
      <c r="F424" s="157">
        <v>71344.02</v>
      </c>
      <c r="G424" s="157">
        <f t="shared" si="6"/>
        <v>37144251.559999973</v>
      </c>
      <c r="H424" s="158"/>
      <c r="I424" s="158"/>
    </row>
    <row r="425" spans="2:9" s="126" customFormat="1" ht="15.95" customHeight="1">
      <c r="B425" s="154">
        <v>44439</v>
      </c>
      <c r="C425" s="155">
        <v>23530</v>
      </c>
      <c r="D425" s="156" t="s">
        <v>1337</v>
      </c>
      <c r="E425" s="157"/>
      <c r="F425" s="157">
        <v>84484.69</v>
      </c>
      <c r="G425" s="157">
        <f t="shared" si="6"/>
        <v>37059766.869999975</v>
      </c>
      <c r="H425" s="158"/>
      <c r="I425" s="158"/>
    </row>
    <row r="426" spans="2:9" s="126" customFormat="1" ht="15.95" customHeight="1">
      <c r="B426" s="154">
        <v>44439</v>
      </c>
      <c r="C426" s="155">
        <v>23535</v>
      </c>
      <c r="D426" s="156" t="s">
        <v>1338</v>
      </c>
      <c r="E426" s="157"/>
      <c r="F426" s="157">
        <v>88844.02</v>
      </c>
      <c r="G426" s="157">
        <f t="shared" si="6"/>
        <v>36970922.849999972</v>
      </c>
      <c r="H426" s="158"/>
      <c r="I426" s="158"/>
    </row>
    <row r="427" spans="2:9" s="126" customFormat="1" ht="15.95" customHeight="1">
      <c r="B427" s="154">
        <v>44439</v>
      </c>
      <c r="C427" s="155">
        <v>23562</v>
      </c>
      <c r="D427" s="156" t="s">
        <v>1339</v>
      </c>
      <c r="E427" s="157"/>
      <c r="F427" s="157">
        <v>92464.97</v>
      </c>
      <c r="G427" s="157">
        <f t="shared" si="6"/>
        <v>36878457.879999973</v>
      </c>
      <c r="H427" s="158"/>
      <c r="I427" s="158"/>
    </row>
    <row r="428" spans="2:9" s="126" customFormat="1" ht="15.95" customHeight="1">
      <c r="B428" s="154">
        <v>44439</v>
      </c>
      <c r="C428" s="155">
        <v>23941</v>
      </c>
      <c r="D428" s="156" t="s">
        <v>1327</v>
      </c>
      <c r="E428" s="157"/>
      <c r="F428" s="157">
        <v>97835.3</v>
      </c>
      <c r="G428" s="157">
        <f t="shared" si="6"/>
        <v>36780622.579999976</v>
      </c>
      <c r="H428" s="158"/>
      <c r="I428" s="158"/>
    </row>
    <row r="429" spans="2:9" s="126" customFormat="1" ht="15.95" customHeight="1">
      <c r="B429" s="154">
        <v>44439</v>
      </c>
      <c r="C429" s="155">
        <v>23503</v>
      </c>
      <c r="D429" s="156" t="s">
        <v>1340</v>
      </c>
      <c r="E429" s="157"/>
      <c r="F429" s="157">
        <v>106792.03</v>
      </c>
      <c r="G429" s="157">
        <f t="shared" si="6"/>
        <v>36673830.549999975</v>
      </c>
      <c r="H429" s="158"/>
      <c r="I429" s="158"/>
    </row>
    <row r="430" spans="2:9" s="126" customFormat="1" ht="15.95" customHeight="1">
      <c r="B430" s="154">
        <v>44439</v>
      </c>
      <c r="C430" s="155">
        <v>23566</v>
      </c>
      <c r="D430" s="156" t="s">
        <v>1341</v>
      </c>
      <c r="E430" s="157"/>
      <c r="F430" s="157">
        <v>137337.25</v>
      </c>
      <c r="G430" s="157">
        <f t="shared" si="6"/>
        <v>36536493.299999975</v>
      </c>
      <c r="H430" s="158"/>
      <c r="I430" s="158"/>
    </row>
    <row r="431" spans="2:9" s="126" customFormat="1" ht="15.95" customHeight="1">
      <c r="B431" s="154">
        <v>44439</v>
      </c>
      <c r="C431" s="155">
        <v>23531</v>
      </c>
      <c r="D431" s="156" t="s">
        <v>1342</v>
      </c>
      <c r="E431" s="157"/>
      <c r="F431" s="157">
        <v>195559.91</v>
      </c>
      <c r="G431" s="157">
        <f t="shared" si="6"/>
        <v>36340933.389999978</v>
      </c>
      <c r="H431" s="158"/>
      <c r="I431" s="158"/>
    </row>
    <row r="432" spans="2:9" s="126" customFormat="1" ht="15.95" customHeight="1">
      <c r="B432" s="154">
        <v>44439</v>
      </c>
      <c r="C432" s="155">
        <v>23905</v>
      </c>
      <c r="D432" s="156" t="s">
        <v>1343</v>
      </c>
      <c r="E432" s="157"/>
      <c r="F432" s="157">
        <v>211109.14</v>
      </c>
      <c r="G432" s="157">
        <f t="shared" si="6"/>
        <v>36129824.249999978</v>
      </c>
      <c r="H432" s="158"/>
      <c r="I432" s="158"/>
    </row>
    <row r="433" spans="2:9" s="126" customFormat="1" ht="15.95" customHeight="1">
      <c r="B433" s="154">
        <v>44439</v>
      </c>
      <c r="C433" s="155">
        <v>23921</v>
      </c>
      <c r="D433" s="156" t="s">
        <v>1344</v>
      </c>
      <c r="E433" s="157"/>
      <c r="F433" s="157">
        <v>219588.25</v>
      </c>
      <c r="G433" s="157">
        <f t="shared" si="6"/>
        <v>35910235.999999978</v>
      </c>
      <c r="H433" s="158"/>
      <c r="I433" s="158"/>
    </row>
    <row r="434" spans="2:9" s="126" customFormat="1" ht="15.95" customHeight="1">
      <c r="B434" s="154">
        <v>44439</v>
      </c>
      <c r="C434" s="155">
        <v>23911</v>
      </c>
      <c r="D434" s="156" t="s">
        <v>1345</v>
      </c>
      <c r="E434" s="157"/>
      <c r="F434" s="157">
        <v>572910</v>
      </c>
      <c r="G434" s="157">
        <f t="shared" si="6"/>
        <v>35337325.999999978</v>
      </c>
      <c r="H434" s="158"/>
      <c r="I434" s="158"/>
    </row>
    <row r="435" spans="2:9" s="126" customFormat="1" ht="15.95" customHeight="1">
      <c r="B435" s="154">
        <v>44439</v>
      </c>
      <c r="C435" s="155">
        <v>24010</v>
      </c>
      <c r="D435" s="156" t="s">
        <v>1106</v>
      </c>
      <c r="E435" s="157"/>
      <c r="F435" s="157">
        <v>1731506</v>
      </c>
      <c r="G435" s="157">
        <f t="shared" si="6"/>
        <v>33605819.999999978</v>
      </c>
      <c r="H435" s="158"/>
      <c r="I435" s="158"/>
    </row>
    <row r="436" spans="2:9" s="126" customFormat="1" ht="15.95" customHeight="1">
      <c r="B436" s="154">
        <v>44439</v>
      </c>
      <c r="C436" s="155">
        <v>24007</v>
      </c>
      <c r="D436" s="156" t="s">
        <v>1346</v>
      </c>
      <c r="E436" s="157"/>
      <c r="F436" s="157">
        <v>2000130</v>
      </c>
      <c r="G436" s="157">
        <f t="shared" si="6"/>
        <v>31605689.999999978</v>
      </c>
      <c r="H436" s="158"/>
      <c r="I436" s="158"/>
    </row>
    <row r="437" spans="2:9" s="126" customFormat="1" ht="15.95" customHeight="1">
      <c r="B437" s="154">
        <v>44439</v>
      </c>
      <c r="C437" s="155">
        <v>23981</v>
      </c>
      <c r="D437" s="156" t="s">
        <v>1347</v>
      </c>
      <c r="E437" s="157"/>
      <c r="F437" s="157">
        <v>2290765.87</v>
      </c>
      <c r="G437" s="157">
        <f t="shared" si="6"/>
        <v>29314924.129999977</v>
      </c>
      <c r="H437" s="158"/>
      <c r="I437" s="158"/>
    </row>
    <row r="438" spans="2:9" s="126" customFormat="1" ht="15.95" customHeight="1">
      <c r="B438" s="154">
        <v>44439</v>
      </c>
      <c r="C438" s="155">
        <v>23982</v>
      </c>
      <c r="D438" s="156" t="s">
        <v>1348</v>
      </c>
      <c r="E438" s="157"/>
      <c r="F438" s="157">
        <v>13420080</v>
      </c>
      <c r="G438" s="157">
        <f t="shared" si="6"/>
        <v>15894844.129999977</v>
      </c>
      <c r="H438" s="158"/>
      <c r="I438" s="158"/>
    </row>
    <row r="439" spans="2:9" s="126" customFormat="1" ht="15.95" customHeight="1">
      <c r="B439" s="154" t="s">
        <v>1044</v>
      </c>
      <c r="C439" s="160" t="s">
        <v>1349</v>
      </c>
      <c r="D439" s="156" t="s">
        <v>1316</v>
      </c>
      <c r="E439" s="157">
        <v>195834.11</v>
      </c>
      <c r="F439" s="157"/>
      <c r="G439" s="157">
        <f t="shared" si="6"/>
        <v>16090678.239999976</v>
      </c>
      <c r="H439" s="158"/>
      <c r="I439" s="158"/>
    </row>
    <row r="440" spans="2:9" s="126" customFormat="1" ht="15.95" customHeight="1">
      <c r="B440" s="154" t="s">
        <v>1044</v>
      </c>
      <c r="C440" s="160" t="s">
        <v>1350</v>
      </c>
      <c r="D440" s="156" t="s">
        <v>1316</v>
      </c>
      <c r="E440" s="157"/>
      <c r="F440" s="157">
        <v>138649.75</v>
      </c>
      <c r="G440" s="157">
        <f t="shared" si="6"/>
        <v>15952028.489999976</v>
      </c>
      <c r="H440" s="158"/>
      <c r="I440" s="158"/>
    </row>
    <row r="441" spans="2:9" s="126" customFormat="1" ht="15.95" customHeight="1">
      <c r="B441" s="154" t="s">
        <v>1044</v>
      </c>
      <c r="C441" s="160" t="s">
        <v>1350</v>
      </c>
      <c r="D441" s="156" t="s">
        <v>1351</v>
      </c>
      <c r="E441" s="157"/>
      <c r="F441" s="157">
        <v>120307.48000000001</v>
      </c>
      <c r="G441" s="157">
        <f t="shared" si="6"/>
        <v>15831721.009999976</v>
      </c>
      <c r="H441" s="158"/>
      <c r="I441" s="158"/>
    </row>
    <row r="442" spans="2:9" ht="15.95" customHeight="1">
      <c r="B442" s="154" t="s">
        <v>1044</v>
      </c>
      <c r="C442" s="160" t="s">
        <v>1350</v>
      </c>
      <c r="D442" s="156" t="s">
        <v>1352</v>
      </c>
      <c r="E442" s="157"/>
      <c r="F442" s="157">
        <v>314992.12000000029</v>
      </c>
      <c r="G442" s="157">
        <f t="shared" si="6"/>
        <v>15516728.889999975</v>
      </c>
    </row>
    <row r="443" spans="2:9" ht="15.95" customHeight="1">
      <c r="B443" s="154" t="s">
        <v>1044</v>
      </c>
      <c r="C443" s="160" t="s">
        <v>1350</v>
      </c>
      <c r="D443" s="156" t="s">
        <v>1353</v>
      </c>
      <c r="E443" s="157"/>
      <c r="F443" s="157">
        <v>172175</v>
      </c>
      <c r="G443" s="157">
        <f t="shared" si="6"/>
        <v>15344553.889999975</v>
      </c>
    </row>
    <row r="444" spans="2:9" ht="15.75" thickBot="1">
      <c r="B444" s="161"/>
      <c r="C444" s="113"/>
      <c r="D444" s="162"/>
      <c r="E444" s="163"/>
      <c r="F444" s="164"/>
      <c r="G444" s="165"/>
    </row>
    <row r="445" spans="2:9">
      <c r="B445" s="166"/>
      <c r="C445" s="167"/>
      <c r="D445" s="168"/>
      <c r="E445" s="169"/>
      <c r="F445" s="170"/>
      <c r="G445" s="171"/>
    </row>
    <row r="446" spans="2:9" ht="16.5" thickBot="1">
      <c r="B446" s="166"/>
      <c r="C446" s="167"/>
      <c r="D446" s="172" t="s">
        <v>1354</v>
      </c>
      <c r="E446" s="173">
        <f>SUM(E16:E444)</f>
        <v>302870910.25999999</v>
      </c>
      <c r="F446" s="173">
        <f>SUM(F16:F444)</f>
        <v>302495529.01999986</v>
      </c>
      <c r="G446" s="174">
        <f>+G13+E446-F446</f>
        <v>15344553.890000105</v>
      </c>
    </row>
    <row r="447" spans="2:9" ht="16.5" thickTop="1">
      <c r="B447" s="166"/>
      <c r="C447" s="167"/>
      <c r="D447" s="172"/>
      <c r="E447" s="175"/>
      <c r="F447" s="175"/>
      <c r="G447" s="176"/>
    </row>
    <row r="448" spans="2:9" ht="15.75">
      <c r="B448" s="166"/>
      <c r="C448" s="167"/>
      <c r="D448" s="172"/>
      <c r="E448" s="175"/>
      <c r="F448" s="175"/>
      <c r="G448" s="176"/>
    </row>
    <row r="449" spans="2:7">
      <c r="B449" s="166"/>
      <c r="C449" s="167"/>
      <c r="D449" s="168"/>
      <c r="E449" s="169"/>
      <c r="F449" s="177"/>
      <c r="G449" s="171"/>
    </row>
    <row r="450" spans="2:7">
      <c r="B450" s="166"/>
      <c r="C450" s="167"/>
      <c r="D450" s="168"/>
      <c r="E450" s="169"/>
      <c r="F450" s="177"/>
      <c r="G450" s="178"/>
    </row>
    <row r="451" spans="2:7">
      <c r="B451" s="166"/>
      <c r="C451" s="167"/>
      <c r="D451" s="168"/>
      <c r="E451" s="169"/>
      <c r="F451" s="177"/>
      <c r="G451" s="179"/>
    </row>
    <row r="452" spans="2:7">
      <c r="B452" s="412" t="s">
        <v>1355</v>
      </c>
      <c r="C452" s="412"/>
      <c r="D452" s="412"/>
      <c r="E452" s="403" t="s">
        <v>876</v>
      </c>
      <c r="F452" s="403"/>
      <c r="G452" s="403"/>
    </row>
    <row r="453" spans="2:7">
      <c r="B453" s="413" t="s">
        <v>1356</v>
      </c>
      <c r="C453" s="413"/>
      <c r="D453" s="413"/>
      <c r="E453" s="393" t="s">
        <v>1357</v>
      </c>
      <c r="F453" s="393"/>
      <c r="G453" s="393"/>
    </row>
    <row r="454" spans="2:7" ht="15.75">
      <c r="B454" s="181"/>
      <c r="C454" s="182"/>
      <c r="E454" s="183"/>
      <c r="F454" s="183"/>
      <c r="G454" s="183"/>
    </row>
    <row r="455" spans="2:7" ht="15.75">
      <c r="B455" s="181"/>
      <c r="C455" s="182"/>
      <c r="D455" s="184"/>
      <c r="E455" s="184"/>
      <c r="F455" s="183"/>
      <c r="G455" s="171"/>
    </row>
    <row r="456" spans="2:7">
      <c r="B456" s="166"/>
      <c r="C456" s="167"/>
      <c r="D456" s="168"/>
      <c r="E456" s="169"/>
      <c r="F456" s="177"/>
      <c r="G456" s="171"/>
    </row>
    <row r="457" spans="2:7">
      <c r="B457" s="166"/>
      <c r="C457" s="167"/>
      <c r="D457" s="168"/>
      <c r="E457" s="169"/>
      <c r="F457" s="177"/>
      <c r="G457" s="171"/>
    </row>
    <row r="458" spans="2:7">
      <c r="B458" s="394" t="s">
        <v>877</v>
      </c>
      <c r="C458" s="394"/>
      <c r="D458" s="394"/>
      <c r="E458" s="394"/>
      <c r="F458" s="394"/>
      <c r="G458" s="394"/>
    </row>
    <row r="459" spans="2:7">
      <c r="B459" s="393" t="s">
        <v>743</v>
      </c>
      <c r="C459" s="393"/>
      <c r="D459" s="393"/>
      <c r="E459" s="393"/>
      <c r="F459" s="393"/>
      <c r="G459" s="393"/>
    </row>
    <row r="460" spans="2:7">
      <c r="B460" s="185"/>
      <c r="C460" s="185"/>
      <c r="D460" s="185"/>
      <c r="E460" s="185"/>
      <c r="F460" s="185"/>
      <c r="G460" s="185"/>
    </row>
    <row r="461" spans="2:7">
      <c r="B461" s="186"/>
      <c r="C461" s="186"/>
      <c r="D461" s="186"/>
      <c r="E461" s="186"/>
      <c r="F461" s="186"/>
      <c r="G461" s="186"/>
    </row>
    <row r="462" spans="2:7">
      <c r="B462" s="166"/>
      <c r="C462" s="167"/>
      <c r="D462" s="168"/>
      <c r="E462" s="169"/>
      <c r="F462" s="177"/>
      <c r="G462" s="171"/>
    </row>
    <row r="464" spans="2:7">
      <c r="G464" s="187"/>
    </row>
  </sheetData>
  <mergeCells count="11">
    <mergeCell ref="B8:G8"/>
    <mergeCell ref="B9:G9"/>
    <mergeCell ref="B10:G10"/>
    <mergeCell ref="B12:G12"/>
    <mergeCell ref="E13:F13"/>
    <mergeCell ref="B452:D452"/>
    <mergeCell ref="E452:G452"/>
    <mergeCell ref="B453:D453"/>
    <mergeCell ref="E453:G453"/>
    <mergeCell ref="B458:G458"/>
    <mergeCell ref="B459:G45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2"/>
  <sheetViews>
    <sheetView topLeftCell="A307" zoomScale="115" zoomScaleNormal="115" workbookViewId="0">
      <selection activeCell="C309" activeCellId="8" sqref="C244:C245 C248:C255 C261 C272:C275 C277 C289:C293 C295:C297 C299 C309"/>
    </sheetView>
  </sheetViews>
  <sheetFormatPr baseColWidth="10" defaultRowHeight="15"/>
  <cols>
    <col min="1" max="1" width="11.42578125" style="14"/>
    <col min="2" max="2" width="11.42578125" style="124" customWidth="1"/>
    <col min="3" max="3" width="17.28515625" style="130" bestFit="1" customWidth="1"/>
    <col min="4" max="4" width="47.85546875" style="126" bestFit="1" customWidth="1"/>
    <col min="5" max="5" width="16.140625" style="127" bestFit="1" customWidth="1"/>
    <col min="6" max="6" width="16.140625" style="128" bestFit="1" customWidth="1"/>
    <col min="7" max="7" width="15.5703125" style="128" bestFit="1" customWidth="1"/>
    <col min="8" max="8" width="19.5703125" style="129" bestFit="1" customWidth="1"/>
    <col min="9" max="9" width="9.5703125" style="129" bestFit="1" customWidth="1"/>
    <col min="10" max="16384" width="11.42578125" style="14"/>
  </cols>
  <sheetData>
    <row r="1" spans="2:9">
      <c r="C1" s="125"/>
    </row>
    <row r="2" spans="2:9">
      <c r="C2" s="125"/>
    </row>
    <row r="3" spans="2:9">
      <c r="C3" s="125"/>
    </row>
    <row r="8" spans="2:9" ht="19.5">
      <c r="B8" s="395" t="s">
        <v>1053</v>
      </c>
      <c r="C8" s="395"/>
      <c r="D8" s="395"/>
      <c r="E8" s="395"/>
      <c r="F8" s="395"/>
      <c r="G8" s="395"/>
    </row>
    <row r="9" spans="2:9" ht="17.25">
      <c r="B9" s="396" t="s">
        <v>1054</v>
      </c>
      <c r="C9" s="396"/>
      <c r="D9" s="396"/>
      <c r="E9" s="396"/>
      <c r="F9" s="396"/>
      <c r="G9" s="396"/>
    </row>
    <row r="10" spans="2:9" ht="15.75">
      <c r="B10" s="397" t="s">
        <v>2149</v>
      </c>
      <c r="C10" s="397"/>
      <c r="D10" s="397"/>
      <c r="E10" s="397"/>
      <c r="F10" s="397"/>
      <c r="G10" s="397"/>
    </row>
    <row r="11" spans="2:9" ht="15.75" thickBot="1">
      <c r="B11" s="131"/>
      <c r="C11" s="132"/>
      <c r="D11" s="133"/>
      <c r="E11" s="134"/>
      <c r="F11" s="135"/>
      <c r="G11" s="135"/>
    </row>
    <row r="12" spans="2:9" s="136" customFormat="1" ht="17.25">
      <c r="B12" s="398" t="s">
        <v>1056</v>
      </c>
      <c r="C12" s="399"/>
      <c r="D12" s="399"/>
      <c r="E12" s="399"/>
      <c r="F12" s="399"/>
      <c r="G12" s="400"/>
      <c r="H12" s="137"/>
      <c r="I12" s="137"/>
    </row>
    <row r="13" spans="2:9" s="136" customFormat="1" ht="15.75">
      <c r="B13" s="138"/>
      <c r="C13" s="139"/>
      <c r="D13" s="140"/>
      <c r="E13" s="401" t="s">
        <v>1057</v>
      </c>
      <c r="F13" s="401"/>
      <c r="G13" s="141">
        <v>7738238.8299998939</v>
      </c>
      <c r="H13" s="137"/>
      <c r="I13" s="137"/>
    </row>
    <row r="14" spans="2:9">
      <c r="B14" s="142"/>
      <c r="C14" s="143"/>
      <c r="D14" s="144"/>
      <c r="E14" s="145"/>
      <c r="F14" s="146"/>
      <c r="G14" s="147"/>
    </row>
    <row r="15" spans="2:9" s="136" customFormat="1" ht="15.75">
      <c r="B15" s="148" t="s">
        <v>1058</v>
      </c>
      <c r="C15" s="149" t="s">
        <v>1059</v>
      </c>
      <c r="D15" s="150" t="s">
        <v>1060</v>
      </c>
      <c r="E15" s="151" t="s">
        <v>1061</v>
      </c>
      <c r="F15" s="152" t="s">
        <v>1062</v>
      </c>
      <c r="G15" s="153" t="s">
        <v>1063</v>
      </c>
      <c r="H15" s="137"/>
      <c r="I15" s="137"/>
    </row>
    <row r="16" spans="2:9" s="126" customFormat="1" ht="15" customHeight="1">
      <c r="B16" s="154"/>
      <c r="C16" s="155"/>
      <c r="D16" s="156"/>
      <c r="E16" s="157"/>
      <c r="F16" s="157"/>
      <c r="G16" s="157">
        <f>+G13+E16-F16</f>
        <v>7738238.8299998939</v>
      </c>
      <c r="H16" s="158"/>
      <c r="I16" s="158"/>
    </row>
    <row r="17" spans="2:9" s="126" customFormat="1" ht="15.95" customHeight="1">
      <c r="B17" s="154">
        <v>44501</v>
      </c>
      <c r="C17" s="155">
        <v>24738124821</v>
      </c>
      <c r="D17" s="156" t="s">
        <v>1064</v>
      </c>
      <c r="E17" s="157">
        <v>1100000</v>
      </c>
      <c r="F17" s="157"/>
      <c r="G17" s="157">
        <f>+G16+E17-F17</f>
        <v>8838238.8299998939</v>
      </c>
      <c r="H17" s="158"/>
      <c r="I17" s="158"/>
    </row>
    <row r="18" spans="2:9" s="126" customFormat="1" ht="15.95" customHeight="1">
      <c r="B18" s="154">
        <v>44501</v>
      </c>
      <c r="C18" s="155">
        <v>24738042131</v>
      </c>
      <c r="D18" s="156" t="s">
        <v>1064</v>
      </c>
      <c r="E18" s="157">
        <v>150000</v>
      </c>
      <c r="F18" s="157"/>
      <c r="G18" s="157">
        <f t="shared" ref="G18:G81" si="0">+G17+E18-F18</f>
        <v>8988238.8299998939</v>
      </c>
      <c r="H18" s="158"/>
      <c r="I18" s="158"/>
    </row>
    <row r="19" spans="2:9" s="126" customFormat="1" ht="15.95" customHeight="1">
      <c r="B19" s="154">
        <v>44501</v>
      </c>
      <c r="C19" s="155">
        <v>24738411183</v>
      </c>
      <c r="D19" s="156" t="s">
        <v>1389</v>
      </c>
      <c r="E19" s="157"/>
      <c r="F19" s="157">
        <v>200000</v>
      </c>
      <c r="G19" s="157">
        <f t="shared" si="0"/>
        <v>8788238.8299998939</v>
      </c>
      <c r="H19" s="158"/>
      <c r="I19" s="158"/>
    </row>
    <row r="20" spans="2:9" s="126" customFormat="1" ht="15.95" customHeight="1">
      <c r="B20" s="154">
        <v>44502</v>
      </c>
      <c r="C20" s="155">
        <v>24630</v>
      </c>
      <c r="D20" s="384" t="s">
        <v>1163</v>
      </c>
      <c r="E20" s="157"/>
      <c r="F20" s="157">
        <v>67800</v>
      </c>
      <c r="G20" s="157">
        <f t="shared" si="0"/>
        <v>8720438.8299998939</v>
      </c>
      <c r="H20" s="158"/>
      <c r="I20" s="158"/>
    </row>
    <row r="21" spans="2:9" s="126" customFormat="1" ht="15.95" customHeight="1">
      <c r="B21" s="154">
        <v>44502</v>
      </c>
      <c r="C21" s="155">
        <v>24459</v>
      </c>
      <c r="D21" s="384" t="s">
        <v>1906</v>
      </c>
      <c r="E21" s="157"/>
      <c r="F21" s="157">
        <v>534716</v>
      </c>
      <c r="G21" s="157">
        <f t="shared" si="0"/>
        <v>8185722.8299998939</v>
      </c>
      <c r="H21" s="158"/>
      <c r="I21" s="158"/>
    </row>
    <row r="22" spans="2:9" s="126" customFormat="1" ht="15.95" customHeight="1">
      <c r="B22" s="154">
        <v>44503</v>
      </c>
      <c r="C22" s="155">
        <v>472137352</v>
      </c>
      <c r="D22" s="156" t="s">
        <v>1064</v>
      </c>
      <c r="E22" s="157">
        <v>361775</v>
      </c>
      <c r="F22" s="157"/>
      <c r="G22" s="157">
        <f t="shared" si="0"/>
        <v>8547497.8299998939</v>
      </c>
      <c r="H22" s="158"/>
      <c r="I22" s="158"/>
    </row>
    <row r="23" spans="2:9" s="126" customFormat="1" ht="15.95" customHeight="1">
      <c r="B23" s="154">
        <v>44503</v>
      </c>
      <c r="C23" s="155">
        <v>472137351</v>
      </c>
      <c r="D23" s="156" t="s">
        <v>1064</v>
      </c>
      <c r="E23" s="157">
        <v>548065</v>
      </c>
      <c r="F23" s="157"/>
      <c r="G23" s="157">
        <f t="shared" si="0"/>
        <v>9095562.8299998939</v>
      </c>
      <c r="H23" s="158"/>
      <c r="I23" s="158"/>
    </row>
    <row r="24" spans="2:9" s="126" customFormat="1" ht="15.95" customHeight="1">
      <c r="B24" s="154">
        <v>44503</v>
      </c>
      <c r="C24" s="155">
        <v>24756987831</v>
      </c>
      <c r="D24" s="156" t="s">
        <v>1064</v>
      </c>
      <c r="E24" s="157">
        <v>750000</v>
      </c>
      <c r="F24" s="157"/>
      <c r="G24" s="157">
        <f t="shared" si="0"/>
        <v>9845562.8299998939</v>
      </c>
      <c r="H24" s="158"/>
      <c r="I24" s="158"/>
    </row>
    <row r="25" spans="2:9" s="126" customFormat="1" ht="15.95" customHeight="1">
      <c r="B25" s="154">
        <v>44503</v>
      </c>
      <c r="C25" s="155">
        <v>20516709</v>
      </c>
      <c r="D25" s="156" t="s">
        <v>1064</v>
      </c>
      <c r="E25" s="157">
        <v>737560</v>
      </c>
      <c r="F25" s="157"/>
      <c r="G25" s="157">
        <f t="shared" si="0"/>
        <v>10583122.829999894</v>
      </c>
      <c r="H25" s="158"/>
      <c r="I25" s="158"/>
    </row>
    <row r="26" spans="2:9" s="126" customFormat="1" ht="15.95" customHeight="1">
      <c r="B26" s="154">
        <v>44503</v>
      </c>
      <c r="C26" s="155">
        <v>20515795</v>
      </c>
      <c r="D26" s="156" t="s">
        <v>1064</v>
      </c>
      <c r="E26" s="157">
        <v>737885</v>
      </c>
      <c r="F26" s="157"/>
      <c r="G26" s="157">
        <f t="shared" si="0"/>
        <v>11321007.829999894</v>
      </c>
      <c r="H26" s="158"/>
      <c r="I26" s="158"/>
    </row>
    <row r="27" spans="2:9" s="126" customFormat="1" ht="15.95" customHeight="1">
      <c r="B27" s="154">
        <v>44503</v>
      </c>
      <c r="C27" s="155">
        <v>20516704</v>
      </c>
      <c r="D27" s="156" t="s">
        <v>1064</v>
      </c>
      <c r="E27" s="157">
        <v>5000000</v>
      </c>
      <c r="F27" s="157"/>
      <c r="G27" s="157">
        <f t="shared" si="0"/>
        <v>16321007.829999894</v>
      </c>
      <c r="H27" s="158"/>
      <c r="I27" s="158"/>
    </row>
    <row r="28" spans="2:9" s="126" customFormat="1" ht="15.95" customHeight="1">
      <c r="B28" s="154">
        <v>44503</v>
      </c>
      <c r="C28" s="155">
        <v>20518300</v>
      </c>
      <c r="D28" s="156" t="s">
        <v>1064</v>
      </c>
      <c r="E28" s="157">
        <v>10000000</v>
      </c>
      <c r="F28" s="157"/>
      <c r="G28" s="157">
        <f t="shared" si="0"/>
        <v>26321007.829999894</v>
      </c>
      <c r="H28" s="158"/>
      <c r="I28" s="158"/>
    </row>
    <row r="29" spans="2:9" s="126" customFormat="1" ht="15.95" customHeight="1">
      <c r="B29" s="154">
        <v>44503</v>
      </c>
      <c r="C29" s="155">
        <v>24485</v>
      </c>
      <c r="D29" s="156" t="s">
        <v>1389</v>
      </c>
      <c r="E29" s="157"/>
      <c r="F29" s="157">
        <v>800000</v>
      </c>
      <c r="G29" s="157">
        <f t="shared" si="0"/>
        <v>25521007.829999894</v>
      </c>
      <c r="H29" s="158"/>
      <c r="I29" s="158"/>
    </row>
    <row r="30" spans="2:9" s="126" customFormat="1" ht="15.95" customHeight="1">
      <c r="B30" s="154">
        <v>44503</v>
      </c>
      <c r="C30" s="155">
        <v>24486</v>
      </c>
      <c r="D30" s="156" t="s">
        <v>1389</v>
      </c>
      <c r="E30" s="157"/>
      <c r="F30" s="157">
        <v>909840</v>
      </c>
      <c r="G30" s="157">
        <f t="shared" si="0"/>
        <v>24611167.829999894</v>
      </c>
      <c r="H30" s="158"/>
      <c r="I30" s="158"/>
    </row>
    <row r="31" spans="2:9" s="126" customFormat="1" ht="15.95" customHeight="1">
      <c r="B31" s="154">
        <v>44503</v>
      </c>
      <c r="C31" s="155">
        <v>24484</v>
      </c>
      <c r="D31" s="156" t="s">
        <v>1739</v>
      </c>
      <c r="E31" s="157"/>
      <c r="F31" s="157">
        <v>2684787.38</v>
      </c>
      <c r="G31" s="157">
        <f t="shared" si="0"/>
        <v>21926380.449999895</v>
      </c>
      <c r="H31" s="158"/>
      <c r="I31" s="158"/>
    </row>
    <row r="32" spans="2:9" s="126" customFormat="1" ht="15.95" customHeight="1">
      <c r="B32" s="154">
        <v>44503</v>
      </c>
      <c r="C32" s="155">
        <v>24483</v>
      </c>
      <c r="D32" s="156" t="s">
        <v>1739</v>
      </c>
      <c r="E32" s="157"/>
      <c r="F32" s="157">
        <v>12302970.119999999</v>
      </c>
      <c r="G32" s="157">
        <f t="shared" si="0"/>
        <v>9623410.3299998958</v>
      </c>
      <c r="H32" s="158"/>
      <c r="I32" s="158"/>
    </row>
    <row r="33" spans="2:9" s="126" customFormat="1" ht="15.95" customHeight="1">
      <c r="B33" s="154">
        <v>44503</v>
      </c>
      <c r="C33" s="155">
        <v>24759187769</v>
      </c>
      <c r="D33" s="156" t="s">
        <v>1389</v>
      </c>
      <c r="E33" s="157"/>
      <c r="F33" s="157">
        <v>750000</v>
      </c>
      <c r="G33" s="157">
        <f t="shared" si="0"/>
        <v>8873410.3299998958</v>
      </c>
      <c r="H33" s="158"/>
      <c r="I33" s="158"/>
    </row>
    <row r="34" spans="2:9" s="126" customFormat="1" ht="15.95" customHeight="1">
      <c r="B34" s="154">
        <v>44503</v>
      </c>
      <c r="C34" s="155">
        <v>24758016337</v>
      </c>
      <c r="D34" s="156" t="s">
        <v>1389</v>
      </c>
      <c r="E34" s="157"/>
      <c r="F34" s="157">
        <v>750000</v>
      </c>
      <c r="G34" s="157">
        <f t="shared" si="0"/>
        <v>8123410.3299998958</v>
      </c>
      <c r="H34" s="158"/>
      <c r="I34" s="158"/>
    </row>
    <row r="35" spans="2:9" s="126" customFormat="1" ht="15.95" customHeight="1">
      <c r="B35" s="154">
        <v>44503</v>
      </c>
      <c r="C35" s="155">
        <v>24755789691</v>
      </c>
      <c r="D35" s="156" t="s">
        <v>1389</v>
      </c>
      <c r="E35" s="157"/>
      <c r="F35" s="157">
        <v>200000</v>
      </c>
      <c r="G35" s="157">
        <f t="shared" si="0"/>
        <v>7923410.3299998958</v>
      </c>
      <c r="H35" s="158"/>
      <c r="I35" s="158"/>
    </row>
    <row r="36" spans="2:9" s="126" customFormat="1" ht="15.95" customHeight="1">
      <c r="B36" s="154">
        <v>44505</v>
      </c>
      <c r="C36" s="155">
        <v>472138844</v>
      </c>
      <c r="D36" s="156" t="s">
        <v>1064</v>
      </c>
      <c r="E36" s="157">
        <v>8000</v>
      </c>
      <c r="F36" s="157"/>
      <c r="G36" s="157">
        <f t="shared" si="0"/>
        <v>7931410.3299998958</v>
      </c>
      <c r="H36" s="158"/>
      <c r="I36" s="158"/>
    </row>
    <row r="37" spans="2:9" s="126" customFormat="1" ht="15.95" customHeight="1">
      <c r="B37" s="154">
        <v>44505</v>
      </c>
      <c r="C37" s="155">
        <v>472138843</v>
      </c>
      <c r="D37" s="156" t="s">
        <v>1064</v>
      </c>
      <c r="E37" s="157">
        <v>712245</v>
      </c>
      <c r="F37" s="157"/>
      <c r="G37" s="157">
        <f t="shared" si="0"/>
        <v>8643655.3299998958</v>
      </c>
      <c r="H37" s="158"/>
      <c r="I37" s="158"/>
    </row>
    <row r="38" spans="2:9" s="126" customFormat="1" ht="15.95" customHeight="1">
      <c r="B38" s="154">
        <v>44505</v>
      </c>
      <c r="C38" s="155">
        <v>472138841</v>
      </c>
      <c r="D38" s="156" t="s">
        <v>1064</v>
      </c>
      <c r="E38" s="157">
        <v>737650</v>
      </c>
      <c r="F38" s="157"/>
      <c r="G38" s="157">
        <f t="shared" si="0"/>
        <v>9381305.3299998958</v>
      </c>
      <c r="H38" s="158"/>
      <c r="I38" s="158"/>
    </row>
    <row r="39" spans="2:9" s="126" customFormat="1" ht="15.95" customHeight="1">
      <c r="B39" s="154">
        <v>44505</v>
      </c>
      <c r="C39" s="155">
        <v>20516705</v>
      </c>
      <c r="D39" s="156" t="s">
        <v>1064</v>
      </c>
      <c r="E39" s="157">
        <v>5000000</v>
      </c>
      <c r="F39" s="157"/>
      <c r="G39" s="157">
        <f t="shared" si="0"/>
        <v>14381305.329999896</v>
      </c>
      <c r="H39" s="158"/>
      <c r="I39" s="158"/>
    </row>
    <row r="40" spans="2:9" s="126" customFormat="1" ht="15.95" customHeight="1">
      <c r="B40" s="154">
        <v>44505</v>
      </c>
      <c r="C40" s="159">
        <v>24508</v>
      </c>
      <c r="D40" s="156" t="s">
        <v>1389</v>
      </c>
      <c r="E40" s="157"/>
      <c r="F40" s="157">
        <v>1449895</v>
      </c>
      <c r="G40" s="157">
        <f t="shared" si="0"/>
        <v>12931410.329999896</v>
      </c>
      <c r="H40" s="158"/>
      <c r="I40" s="158"/>
    </row>
    <row r="41" spans="2:9" s="126" customFormat="1" ht="15.95" customHeight="1">
      <c r="B41" s="154">
        <v>44505</v>
      </c>
      <c r="C41" s="159">
        <v>24775528048</v>
      </c>
      <c r="D41" s="156" t="s">
        <v>1389</v>
      </c>
      <c r="E41" s="157"/>
      <c r="F41" s="157">
        <v>4950000</v>
      </c>
      <c r="G41" s="157">
        <f t="shared" si="0"/>
        <v>7981410.3299998958</v>
      </c>
      <c r="H41" s="158"/>
      <c r="I41" s="158"/>
    </row>
    <row r="42" spans="2:9" s="126" customFormat="1" ht="15.95" customHeight="1">
      <c r="B42" s="154">
        <v>44508</v>
      </c>
      <c r="C42" s="159">
        <v>472139776</v>
      </c>
      <c r="D42" s="156" t="s">
        <v>1064</v>
      </c>
      <c r="E42" s="157">
        <v>501675</v>
      </c>
      <c r="F42" s="157"/>
      <c r="G42" s="157">
        <f t="shared" si="0"/>
        <v>8483085.3299998958</v>
      </c>
      <c r="H42" s="158"/>
      <c r="I42" s="158"/>
    </row>
    <row r="43" spans="2:9" s="126" customFormat="1" ht="15.95" customHeight="1">
      <c r="B43" s="154">
        <v>44508</v>
      </c>
      <c r="C43" s="155">
        <v>472139774</v>
      </c>
      <c r="D43" s="156" t="s">
        <v>1064</v>
      </c>
      <c r="E43" s="157">
        <v>538235</v>
      </c>
      <c r="F43" s="157"/>
      <c r="G43" s="157">
        <f t="shared" si="0"/>
        <v>9021320.3299998958</v>
      </c>
      <c r="H43" s="158"/>
      <c r="I43" s="158"/>
    </row>
    <row r="44" spans="2:9" s="126" customFormat="1" ht="15.95" customHeight="1">
      <c r="B44" s="154">
        <v>44508</v>
      </c>
      <c r="C44" s="159">
        <v>472139773</v>
      </c>
      <c r="D44" s="156" t="s">
        <v>1064</v>
      </c>
      <c r="E44" s="157">
        <v>817670</v>
      </c>
      <c r="F44" s="157"/>
      <c r="G44" s="157">
        <f t="shared" si="0"/>
        <v>9838990.3299998958</v>
      </c>
      <c r="H44" s="158"/>
      <c r="I44" s="158"/>
    </row>
    <row r="45" spans="2:9" s="126" customFormat="1" ht="15.95" customHeight="1">
      <c r="B45" s="154">
        <v>44508</v>
      </c>
      <c r="C45" s="159">
        <v>24511</v>
      </c>
      <c r="D45" s="156" t="s">
        <v>1389</v>
      </c>
      <c r="E45" s="157"/>
      <c r="F45" s="157">
        <v>1857580</v>
      </c>
      <c r="G45" s="157">
        <f t="shared" si="0"/>
        <v>7981410.3299998958</v>
      </c>
      <c r="H45" s="158"/>
      <c r="I45" s="158"/>
    </row>
    <row r="46" spans="2:9" s="126" customFormat="1" ht="15.95" customHeight="1">
      <c r="B46" s="154">
        <v>44509</v>
      </c>
      <c r="C46" s="159">
        <v>24804042643</v>
      </c>
      <c r="D46" s="156" t="s">
        <v>1064</v>
      </c>
      <c r="E46" s="157">
        <v>320000</v>
      </c>
      <c r="F46" s="157"/>
      <c r="G46" s="157">
        <f t="shared" si="0"/>
        <v>8301410.3299998958</v>
      </c>
      <c r="H46" s="158"/>
      <c r="I46" s="158"/>
    </row>
    <row r="47" spans="2:9" s="126" customFormat="1" ht="15.95" customHeight="1">
      <c r="B47" s="154">
        <v>44509</v>
      </c>
      <c r="C47" s="159">
        <v>24804036721</v>
      </c>
      <c r="D47" s="156" t="s">
        <v>1064</v>
      </c>
      <c r="E47" s="157">
        <v>100000000</v>
      </c>
      <c r="F47" s="157"/>
      <c r="G47" s="157">
        <f t="shared" si="0"/>
        <v>108301410.32999989</v>
      </c>
      <c r="H47" s="158"/>
      <c r="I47" s="158"/>
    </row>
    <row r="48" spans="2:9" s="126" customFormat="1" ht="15.95" customHeight="1">
      <c r="B48" s="154">
        <v>44509</v>
      </c>
      <c r="C48" s="159">
        <v>24804032135</v>
      </c>
      <c r="D48" s="156" t="s">
        <v>1064</v>
      </c>
      <c r="E48" s="157">
        <v>100000000</v>
      </c>
      <c r="F48" s="157"/>
      <c r="G48" s="157">
        <f t="shared" si="0"/>
        <v>208301410.32999989</v>
      </c>
      <c r="H48" s="158"/>
      <c r="I48" s="158"/>
    </row>
    <row r="49" spans="2:9" s="126" customFormat="1" ht="15.95" customHeight="1">
      <c r="B49" s="154">
        <v>44509</v>
      </c>
      <c r="C49" s="159">
        <v>24488</v>
      </c>
      <c r="D49" s="156" t="s">
        <v>1389</v>
      </c>
      <c r="E49" s="157"/>
      <c r="F49" s="157">
        <v>10000000</v>
      </c>
      <c r="G49" s="157">
        <f t="shared" si="0"/>
        <v>198301410.32999989</v>
      </c>
      <c r="H49" s="158"/>
      <c r="I49" s="158"/>
    </row>
    <row r="50" spans="2:9" s="126" customFormat="1" ht="15.95" customHeight="1">
      <c r="B50" s="154">
        <v>44509</v>
      </c>
      <c r="C50" s="159">
        <v>24489</v>
      </c>
      <c r="D50" s="156" t="s">
        <v>1389</v>
      </c>
      <c r="E50" s="157"/>
      <c r="F50" s="157">
        <v>10000000</v>
      </c>
      <c r="G50" s="157">
        <f t="shared" si="0"/>
        <v>188301410.32999989</v>
      </c>
      <c r="H50" s="158"/>
      <c r="I50" s="158"/>
    </row>
    <row r="51" spans="2:9" s="126" customFormat="1" ht="15.95" customHeight="1">
      <c r="B51" s="154">
        <v>44509</v>
      </c>
      <c r="C51" s="159">
        <v>24490</v>
      </c>
      <c r="D51" s="156" t="s">
        <v>1389</v>
      </c>
      <c r="E51" s="157"/>
      <c r="F51" s="157">
        <v>10000000</v>
      </c>
      <c r="G51" s="157">
        <f t="shared" si="0"/>
        <v>178301410.32999989</v>
      </c>
      <c r="H51" s="158"/>
      <c r="I51" s="158"/>
    </row>
    <row r="52" spans="2:9" s="126" customFormat="1" ht="15.95" customHeight="1">
      <c r="B52" s="154">
        <v>44509</v>
      </c>
      <c r="C52" s="159">
        <v>24491</v>
      </c>
      <c r="D52" s="156" t="s">
        <v>1389</v>
      </c>
      <c r="E52" s="157"/>
      <c r="F52" s="157">
        <v>10000000</v>
      </c>
      <c r="G52" s="157">
        <f t="shared" si="0"/>
        <v>168301410.32999989</v>
      </c>
      <c r="H52" s="158"/>
      <c r="I52" s="158"/>
    </row>
    <row r="53" spans="2:9" s="126" customFormat="1" ht="15.95" customHeight="1">
      <c r="B53" s="154">
        <v>44509</v>
      </c>
      <c r="C53" s="159">
        <v>24492</v>
      </c>
      <c r="D53" s="156" t="s">
        <v>1389</v>
      </c>
      <c r="E53" s="157"/>
      <c r="F53" s="157">
        <v>10000000</v>
      </c>
      <c r="G53" s="157">
        <f t="shared" si="0"/>
        <v>158301410.32999989</v>
      </c>
      <c r="H53" s="158"/>
      <c r="I53" s="158"/>
    </row>
    <row r="54" spans="2:9" s="126" customFormat="1" ht="15.95" customHeight="1">
      <c r="B54" s="154">
        <v>44509</v>
      </c>
      <c r="C54" s="159">
        <v>24493</v>
      </c>
      <c r="D54" s="156" t="s">
        <v>1389</v>
      </c>
      <c r="E54" s="157"/>
      <c r="F54" s="157">
        <v>10000000</v>
      </c>
      <c r="G54" s="157">
        <f t="shared" si="0"/>
        <v>148301410.32999989</v>
      </c>
      <c r="H54" s="158"/>
      <c r="I54" s="158"/>
    </row>
    <row r="55" spans="2:9" s="126" customFormat="1" ht="15.95" customHeight="1">
      <c r="B55" s="154">
        <v>44509</v>
      </c>
      <c r="C55" s="159">
        <v>24494</v>
      </c>
      <c r="D55" s="156" t="s">
        <v>1389</v>
      </c>
      <c r="E55" s="157"/>
      <c r="F55" s="157">
        <v>10000000</v>
      </c>
      <c r="G55" s="157">
        <f t="shared" si="0"/>
        <v>138301410.32999989</v>
      </c>
      <c r="H55" s="158"/>
      <c r="I55" s="158"/>
    </row>
    <row r="56" spans="2:9" s="126" customFormat="1" ht="15.95" customHeight="1">
      <c r="B56" s="154">
        <v>44509</v>
      </c>
      <c r="C56" s="159">
        <v>24495</v>
      </c>
      <c r="D56" s="156" t="s">
        <v>1389</v>
      </c>
      <c r="E56" s="157"/>
      <c r="F56" s="157">
        <v>10000000</v>
      </c>
      <c r="G56" s="157">
        <f t="shared" si="0"/>
        <v>128301410.32999989</v>
      </c>
      <c r="H56" s="158"/>
      <c r="I56" s="158"/>
    </row>
    <row r="57" spans="2:9" s="126" customFormat="1" ht="15.95" customHeight="1">
      <c r="B57" s="154">
        <v>44509</v>
      </c>
      <c r="C57" s="159">
        <v>24496</v>
      </c>
      <c r="D57" s="156" t="s">
        <v>1389</v>
      </c>
      <c r="E57" s="157"/>
      <c r="F57" s="157">
        <v>10000000</v>
      </c>
      <c r="G57" s="157">
        <f t="shared" si="0"/>
        <v>118301410.32999989</v>
      </c>
      <c r="H57" s="158"/>
      <c r="I57" s="158"/>
    </row>
    <row r="58" spans="2:9" s="126" customFormat="1" ht="15.95" customHeight="1">
      <c r="B58" s="154">
        <v>44509</v>
      </c>
      <c r="C58" s="155">
        <v>24497</v>
      </c>
      <c r="D58" s="156" t="s">
        <v>1389</v>
      </c>
      <c r="E58" s="157"/>
      <c r="F58" s="157">
        <v>10000000</v>
      </c>
      <c r="G58" s="157">
        <f t="shared" si="0"/>
        <v>108301410.32999989</v>
      </c>
      <c r="H58" s="158"/>
      <c r="I58" s="158"/>
    </row>
    <row r="59" spans="2:9" s="126" customFormat="1" ht="15.95" customHeight="1">
      <c r="B59" s="154">
        <v>44509</v>
      </c>
      <c r="C59" s="155">
        <v>24498</v>
      </c>
      <c r="D59" s="156" t="s">
        <v>1389</v>
      </c>
      <c r="E59" s="157"/>
      <c r="F59" s="157">
        <v>10000000</v>
      </c>
      <c r="G59" s="157">
        <f t="shared" si="0"/>
        <v>98301410.329999894</v>
      </c>
      <c r="H59" s="158"/>
      <c r="I59" s="158"/>
    </row>
    <row r="60" spans="2:9" s="126" customFormat="1" ht="15.95" customHeight="1">
      <c r="B60" s="154">
        <v>44509</v>
      </c>
      <c r="C60" s="155">
        <v>24499</v>
      </c>
      <c r="D60" s="156" t="s">
        <v>1389</v>
      </c>
      <c r="E60" s="157"/>
      <c r="F60" s="157">
        <v>10000000</v>
      </c>
      <c r="G60" s="157">
        <f t="shared" si="0"/>
        <v>88301410.329999894</v>
      </c>
      <c r="H60" s="158"/>
      <c r="I60" s="158"/>
    </row>
    <row r="61" spans="2:9" s="126" customFormat="1" ht="15.95" customHeight="1">
      <c r="B61" s="154">
        <v>44509</v>
      </c>
      <c r="C61" s="155">
        <v>24500</v>
      </c>
      <c r="D61" s="156" t="s">
        <v>1389</v>
      </c>
      <c r="E61" s="157"/>
      <c r="F61" s="157">
        <v>10000000</v>
      </c>
      <c r="G61" s="157">
        <f t="shared" si="0"/>
        <v>78301410.329999894</v>
      </c>
      <c r="H61" s="158"/>
      <c r="I61" s="158"/>
    </row>
    <row r="62" spans="2:9" s="126" customFormat="1" ht="15.95" customHeight="1">
      <c r="B62" s="154">
        <v>44509</v>
      </c>
      <c r="C62" s="155">
        <v>24501</v>
      </c>
      <c r="D62" s="156" t="s">
        <v>1389</v>
      </c>
      <c r="E62" s="157"/>
      <c r="F62" s="157">
        <v>10000000</v>
      </c>
      <c r="G62" s="157">
        <f t="shared" si="0"/>
        <v>68301410.329999894</v>
      </c>
      <c r="H62" s="158"/>
      <c r="I62" s="158"/>
    </row>
    <row r="63" spans="2:9" s="126" customFormat="1" ht="15.95" customHeight="1">
      <c r="B63" s="154">
        <v>44509</v>
      </c>
      <c r="C63" s="155">
        <v>24502</v>
      </c>
      <c r="D63" s="156" t="s">
        <v>1389</v>
      </c>
      <c r="E63" s="157"/>
      <c r="F63" s="157">
        <v>10000000</v>
      </c>
      <c r="G63" s="157">
        <f t="shared" si="0"/>
        <v>58301410.329999894</v>
      </c>
      <c r="H63" s="158"/>
      <c r="I63" s="158"/>
    </row>
    <row r="64" spans="2:9" s="126" customFormat="1" ht="15.95" customHeight="1">
      <c r="B64" s="154">
        <v>44509</v>
      </c>
      <c r="C64" s="155">
        <v>24503</v>
      </c>
      <c r="D64" s="156" t="s">
        <v>1389</v>
      </c>
      <c r="E64" s="157"/>
      <c r="F64" s="157">
        <v>10000000</v>
      </c>
      <c r="G64" s="157">
        <f t="shared" si="0"/>
        <v>48301410.329999894</v>
      </c>
      <c r="H64" s="158"/>
      <c r="I64" s="158"/>
    </row>
    <row r="65" spans="2:9" s="126" customFormat="1" ht="15.95" customHeight="1">
      <c r="B65" s="154">
        <v>44509</v>
      </c>
      <c r="C65" s="155">
        <v>24504</v>
      </c>
      <c r="D65" s="156" t="s">
        <v>1389</v>
      </c>
      <c r="E65" s="157"/>
      <c r="F65" s="157">
        <v>10000000</v>
      </c>
      <c r="G65" s="157">
        <f t="shared" si="0"/>
        <v>38301410.329999894</v>
      </c>
      <c r="H65" s="158"/>
      <c r="I65" s="158"/>
    </row>
    <row r="66" spans="2:9" s="126" customFormat="1" ht="15.95" customHeight="1">
      <c r="B66" s="154">
        <v>44509</v>
      </c>
      <c r="C66" s="155">
        <v>24505</v>
      </c>
      <c r="D66" s="156" t="s">
        <v>1389</v>
      </c>
      <c r="E66" s="157"/>
      <c r="F66" s="157">
        <v>10000000</v>
      </c>
      <c r="G66" s="157">
        <f t="shared" si="0"/>
        <v>28301410.329999894</v>
      </c>
      <c r="H66" s="158"/>
      <c r="I66" s="158"/>
    </row>
    <row r="67" spans="2:9" s="126" customFormat="1" ht="15.95" customHeight="1">
      <c r="B67" s="154">
        <v>44509</v>
      </c>
      <c r="C67" s="155">
        <v>24506</v>
      </c>
      <c r="D67" s="156" t="s">
        <v>1389</v>
      </c>
      <c r="E67" s="157"/>
      <c r="F67" s="157">
        <v>10000000</v>
      </c>
      <c r="G67" s="157">
        <f t="shared" si="0"/>
        <v>18301410.329999894</v>
      </c>
      <c r="H67" s="158"/>
      <c r="I67" s="158"/>
    </row>
    <row r="68" spans="2:9" s="126" customFormat="1" ht="15.95" customHeight="1">
      <c r="B68" s="154">
        <v>44509</v>
      </c>
      <c r="C68" s="159">
        <v>24507</v>
      </c>
      <c r="D68" s="156" t="s">
        <v>1389</v>
      </c>
      <c r="E68" s="157"/>
      <c r="F68" s="157">
        <v>10000000</v>
      </c>
      <c r="G68" s="157">
        <f t="shared" si="0"/>
        <v>8301410.3299998939</v>
      </c>
      <c r="H68" s="158"/>
      <c r="I68" s="158"/>
    </row>
    <row r="69" spans="2:9" s="126" customFormat="1" ht="15.95" customHeight="1">
      <c r="B69" s="154">
        <v>44510</v>
      </c>
      <c r="C69" s="159">
        <v>24807408909</v>
      </c>
      <c r="D69" s="156" t="s">
        <v>1064</v>
      </c>
      <c r="E69" s="157">
        <v>135000</v>
      </c>
      <c r="F69" s="157"/>
      <c r="G69" s="157">
        <f t="shared" si="0"/>
        <v>8436410.3299998939</v>
      </c>
      <c r="H69" s="158"/>
      <c r="I69" s="158"/>
    </row>
    <row r="70" spans="2:9" s="126" customFormat="1" ht="15.95" customHeight="1">
      <c r="B70" s="154">
        <v>44510</v>
      </c>
      <c r="C70" s="155">
        <v>20516711</v>
      </c>
      <c r="D70" s="156" t="s">
        <v>1064</v>
      </c>
      <c r="E70" s="157">
        <v>1500000</v>
      </c>
      <c r="F70" s="157"/>
      <c r="G70" s="157">
        <f t="shared" si="0"/>
        <v>9936410.3299998939</v>
      </c>
      <c r="H70" s="158"/>
      <c r="I70" s="158"/>
    </row>
    <row r="71" spans="2:9" s="126" customFormat="1" ht="15.95" customHeight="1">
      <c r="B71" s="154">
        <v>44510</v>
      </c>
      <c r="C71" s="155">
        <v>20516707</v>
      </c>
      <c r="D71" s="156" t="s">
        <v>1064</v>
      </c>
      <c r="E71" s="157">
        <v>5000000</v>
      </c>
      <c r="F71" s="157"/>
      <c r="G71" s="157">
        <f t="shared" si="0"/>
        <v>14936410.329999894</v>
      </c>
      <c r="H71" s="158"/>
      <c r="I71" s="158"/>
    </row>
    <row r="72" spans="2:9" s="126" customFormat="1" ht="15.95" customHeight="1">
      <c r="B72" s="154">
        <v>44510</v>
      </c>
      <c r="C72" s="155">
        <v>20518331</v>
      </c>
      <c r="D72" s="156" t="s">
        <v>1064</v>
      </c>
      <c r="E72" s="157">
        <v>909840</v>
      </c>
      <c r="F72" s="157"/>
      <c r="G72" s="157">
        <f t="shared" si="0"/>
        <v>15846250.329999894</v>
      </c>
      <c r="H72" s="158"/>
      <c r="I72" s="158"/>
    </row>
    <row r="73" spans="2:9" s="126" customFormat="1" ht="15.95" customHeight="1">
      <c r="B73" s="154">
        <v>44510</v>
      </c>
      <c r="C73" s="155">
        <v>20518330</v>
      </c>
      <c r="D73" s="156" t="s">
        <v>1064</v>
      </c>
      <c r="E73" s="157">
        <v>800000</v>
      </c>
      <c r="F73" s="157"/>
      <c r="G73" s="157">
        <f t="shared" si="0"/>
        <v>16646250.329999894</v>
      </c>
      <c r="H73" s="158"/>
      <c r="I73" s="158"/>
    </row>
    <row r="74" spans="2:9" s="126" customFormat="1" ht="15.95" customHeight="1">
      <c r="B74" s="154">
        <v>44510</v>
      </c>
      <c r="C74" s="159">
        <v>24667</v>
      </c>
      <c r="D74" s="384" t="s">
        <v>1455</v>
      </c>
      <c r="E74" s="157"/>
      <c r="F74" s="157">
        <v>18000</v>
      </c>
      <c r="G74" s="157">
        <f t="shared" si="0"/>
        <v>16628250.329999894</v>
      </c>
      <c r="H74" s="158"/>
      <c r="I74" s="158"/>
    </row>
    <row r="75" spans="2:9" s="126" customFormat="1" ht="15.95" customHeight="1">
      <c r="B75" s="154">
        <v>44510</v>
      </c>
      <c r="C75" s="159">
        <v>24468</v>
      </c>
      <c r="D75" s="156" t="s">
        <v>2066</v>
      </c>
      <c r="E75" s="157"/>
      <c r="F75" s="157">
        <v>21349.41</v>
      </c>
      <c r="G75" s="157">
        <f t="shared" si="0"/>
        <v>16606900.919999894</v>
      </c>
      <c r="H75" s="158"/>
      <c r="I75" s="158"/>
    </row>
    <row r="76" spans="2:9" s="126" customFormat="1" ht="15.95" customHeight="1">
      <c r="B76" s="154">
        <v>44510</v>
      </c>
      <c r="C76" s="159">
        <v>24487</v>
      </c>
      <c r="D76" s="156" t="s">
        <v>2052</v>
      </c>
      <c r="E76" s="157"/>
      <c r="F76" s="157">
        <v>23557.89</v>
      </c>
      <c r="G76" s="157">
        <f t="shared" si="0"/>
        <v>16583343.029999893</v>
      </c>
      <c r="H76" s="158"/>
      <c r="I76" s="158"/>
    </row>
    <row r="77" spans="2:9" s="126" customFormat="1" ht="15.95" customHeight="1">
      <c r="B77" s="154">
        <v>44510</v>
      </c>
      <c r="C77" s="159">
        <v>24478</v>
      </c>
      <c r="D77" s="156" t="s">
        <v>2076</v>
      </c>
      <c r="E77" s="157"/>
      <c r="F77" s="157">
        <v>27074.11</v>
      </c>
      <c r="G77" s="157">
        <f t="shared" si="0"/>
        <v>16556268.919999894</v>
      </c>
      <c r="H77" s="158"/>
      <c r="I77" s="158"/>
    </row>
    <row r="78" spans="2:9" s="126" customFormat="1" ht="15.95" customHeight="1">
      <c r="B78" s="154">
        <v>44510</v>
      </c>
      <c r="C78" s="159">
        <v>24618</v>
      </c>
      <c r="D78" s="384" t="s">
        <v>1107</v>
      </c>
      <c r="E78" s="157"/>
      <c r="F78" s="157">
        <v>28250</v>
      </c>
      <c r="G78" s="157">
        <f t="shared" si="0"/>
        <v>16528018.919999894</v>
      </c>
      <c r="H78" s="158"/>
      <c r="I78" s="158"/>
    </row>
    <row r="79" spans="2:9" s="126" customFormat="1" ht="15.95" customHeight="1">
      <c r="B79" s="154">
        <v>44510</v>
      </c>
      <c r="C79" s="159">
        <v>24509</v>
      </c>
      <c r="D79" s="156" t="s">
        <v>2063</v>
      </c>
      <c r="E79" s="157"/>
      <c r="F79" s="157">
        <v>30000</v>
      </c>
      <c r="G79" s="157">
        <f t="shared" si="0"/>
        <v>16498018.919999894</v>
      </c>
      <c r="H79" s="158"/>
      <c r="I79" s="158"/>
    </row>
    <row r="80" spans="2:9" s="126" customFormat="1" ht="15.95" customHeight="1">
      <c r="B80" s="154">
        <v>44510</v>
      </c>
      <c r="C80" s="159">
        <v>24469</v>
      </c>
      <c r="D80" s="156" t="s">
        <v>2067</v>
      </c>
      <c r="E80" s="157"/>
      <c r="F80" s="157">
        <v>55725.66</v>
      </c>
      <c r="G80" s="157">
        <f t="shared" si="0"/>
        <v>16442293.259999894</v>
      </c>
      <c r="H80" s="158"/>
      <c r="I80" s="158"/>
    </row>
    <row r="81" spans="2:9" s="126" customFormat="1" ht="15.95" customHeight="1">
      <c r="B81" s="154">
        <v>44510</v>
      </c>
      <c r="C81" s="159">
        <v>24473</v>
      </c>
      <c r="D81" s="156" t="s">
        <v>2071</v>
      </c>
      <c r="E81" s="157"/>
      <c r="F81" s="157">
        <v>82818.03</v>
      </c>
      <c r="G81" s="157">
        <f t="shared" si="0"/>
        <v>16359475.229999894</v>
      </c>
      <c r="H81" s="158"/>
      <c r="I81" s="158"/>
    </row>
    <row r="82" spans="2:9" s="126" customFormat="1" ht="15.95" customHeight="1">
      <c r="B82" s="154">
        <v>44510</v>
      </c>
      <c r="C82" s="159">
        <v>24510</v>
      </c>
      <c r="D82" s="384" t="s">
        <v>1485</v>
      </c>
      <c r="E82" s="157"/>
      <c r="F82" s="157">
        <v>83700</v>
      </c>
      <c r="G82" s="157">
        <f t="shared" ref="G82:G145" si="1">+G81+E82-F82</f>
        <v>16275775.229999894</v>
      </c>
      <c r="H82" s="158"/>
      <c r="I82" s="158"/>
    </row>
    <row r="83" spans="2:9" s="126" customFormat="1" ht="15.95" customHeight="1">
      <c r="B83" s="154">
        <v>44510</v>
      </c>
      <c r="C83" s="159">
        <v>24471</v>
      </c>
      <c r="D83" s="156" t="s">
        <v>2069</v>
      </c>
      <c r="E83" s="157"/>
      <c r="F83" s="157">
        <v>85958.7</v>
      </c>
      <c r="G83" s="157">
        <f t="shared" si="1"/>
        <v>16189816.529999895</v>
      </c>
      <c r="H83" s="158"/>
      <c r="I83" s="158"/>
    </row>
    <row r="84" spans="2:9" s="126" customFormat="1" ht="15.95" customHeight="1">
      <c r="B84" s="154">
        <v>44510</v>
      </c>
      <c r="C84" s="159">
        <v>24475</v>
      </c>
      <c r="D84" s="156" t="s">
        <v>2073</v>
      </c>
      <c r="E84" s="157"/>
      <c r="F84" s="157">
        <v>89878.86</v>
      </c>
      <c r="G84" s="157">
        <f t="shared" si="1"/>
        <v>16099937.669999896</v>
      </c>
      <c r="H84" s="158"/>
      <c r="I84" s="158"/>
    </row>
    <row r="85" spans="2:9" s="126" customFormat="1" ht="15.95" customHeight="1">
      <c r="B85" s="154">
        <v>44510</v>
      </c>
      <c r="C85" s="159">
        <v>24474</v>
      </c>
      <c r="D85" s="156" t="s">
        <v>2072</v>
      </c>
      <c r="E85" s="157"/>
      <c r="F85" s="157">
        <v>92625.37</v>
      </c>
      <c r="G85" s="157">
        <f t="shared" si="1"/>
        <v>16007312.299999896</v>
      </c>
      <c r="H85" s="158"/>
      <c r="I85" s="158"/>
    </row>
    <row r="86" spans="2:9" s="126" customFormat="1" ht="15.95" customHeight="1">
      <c r="B86" s="154">
        <v>44510</v>
      </c>
      <c r="C86" s="159">
        <v>24472</v>
      </c>
      <c r="D86" s="156" t="s">
        <v>2070</v>
      </c>
      <c r="E86" s="157"/>
      <c r="F86" s="157">
        <v>111123.52</v>
      </c>
      <c r="G86" s="157">
        <f t="shared" si="1"/>
        <v>15896188.779999897</v>
      </c>
      <c r="H86" s="158"/>
      <c r="I86" s="158"/>
    </row>
    <row r="87" spans="2:9" s="126" customFormat="1" ht="15.95" customHeight="1">
      <c r="B87" s="154">
        <v>44510</v>
      </c>
      <c r="C87" s="159">
        <v>24476</v>
      </c>
      <c r="D87" s="156" t="s">
        <v>2074</v>
      </c>
      <c r="E87" s="157"/>
      <c r="F87" s="157">
        <v>112365.48</v>
      </c>
      <c r="G87" s="157">
        <f t="shared" si="1"/>
        <v>15783823.299999896</v>
      </c>
      <c r="H87" s="158"/>
      <c r="I87" s="158"/>
    </row>
    <row r="88" spans="2:9" s="126" customFormat="1" ht="15.95" customHeight="1">
      <c r="B88" s="154">
        <v>44510</v>
      </c>
      <c r="C88" s="159">
        <v>24467</v>
      </c>
      <c r="D88" s="156" t="s">
        <v>2065</v>
      </c>
      <c r="E88" s="157"/>
      <c r="F88" s="157">
        <v>137706.85</v>
      </c>
      <c r="G88" s="157">
        <f t="shared" si="1"/>
        <v>15646116.449999897</v>
      </c>
      <c r="H88" s="158"/>
      <c r="I88" s="158"/>
    </row>
    <row r="89" spans="2:9" s="126" customFormat="1" ht="15.95" customHeight="1">
      <c r="B89" s="154">
        <v>44510</v>
      </c>
      <c r="C89" s="159">
        <v>24477</v>
      </c>
      <c r="D89" s="156" t="s">
        <v>2075</v>
      </c>
      <c r="E89" s="157"/>
      <c r="F89" s="157">
        <v>153149.75</v>
      </c>
      <c r="G89" s="157">
        <f t="shared" si="1"/>
        <v>15492966.699999897</v>
      </c>
      <c r="H89" s="158"/>
      <c r="I89" s="158"/>
    </row>
    <row r="90" spans="2:9" s="126" customFormat="1" ht="15.95" customHeight="1">
      <c r="B90" s="154">
        <v>44510</v>
      </c>
      <c r="C90" s="159">
        <v>24480</v>
      </c>
      <c r="D90" s="156" t="s">
        <v>2078</v>
      </c>
      <c r="E90" s="157"/>
      <c r="F90" s="157">
        <v>177686.94</v>
      </c>
      <c r="G90" s="157">
        <f t="shared" si="1"/>
        <v>15315279.759999897</v>
      </c>
      <c r="H90" s="158"/>
      <c r="I90" s="158"/>
    </row>
    <row r="91" spans="2:9" s="126" customFormat="1" ht="15.95" customHeight="1">
      <c r="B91" s="154">
        <v>44510</v>
      </c>
      <c r="C91" s="159">
        <v>24470</v>
      </c>
      <c r="D91" s="156" t="s">
        <v>2068</v>
      </c>
      <c r="E91" s="157"/>
      <c r="F91" s="157">
        <v>184979.23</v>
      </c>
      <c r="G91" s="157">
        <f t="shared" si="1"/>
        <v>15130300.529999897</v>
      </c>
      <c r="H91" s="158"/>
      <c r="I91" s="158"/>
    </row>
    <row r="92" spans="2:9" s="126" customFormat="1" ht="15.95" customHeight="1">
      <c r="B92" s="154">
        <v>44510</v>
      </c>
      <c r="C92" s="159">
        <v>24479</v>
      </c>
      <c r="D92" s="156" t="s">
        <v>2077</v>
      </c>
      <c r="E92" s="157"/>
      <c r="F92" s="157">
        <v>364380.48</v>
      </c>
      <c r="G92" s="157">
        <f t="shared" si="1"/>
        <v>14765920.049999896</v>
      </c>
      <c r="H92" s="158"/>
      <c r="I92" s="158"/>
    </row>
    <row r="93" spans="2:9" s="126" customFormat="1" ht="15.95" customHeight="1">
      <c r="B93" s="154">
        <v>44510</v>
      </c>
      <c r="C93" s="159">
        <v>24512</v>
      </c>
      <c r="D93" s="384" t="s">
        <v>1255</v>
      </c>
      <c r="E93" s="157"/>
      <c r="F93" s="157">
        <v>447750</v>
      </c>
      <c r="G93" s="157">
        <f t="shared" si="1"/>
        <v>14318170.049999896</v>
      </c>
      <c r="H93" s="158"/>
      <c r="I93" s="158"/>
    </row>
    <row r="94" spans="2:9" s="126" customFormat="1" ht="15.95" customHeight="1">
      <c r="B94" s="154">
        <v>44510</v>
      </c>
      <c r="C94" s="159">
        <v>24464</v>
      </c>
      <c r="D94" s="384" t="s">
        <v>1348</v>
      </c>
      <c r="E94" s="157"/>
      <c r="F94" s="157">
        <v>3607500</v>
      </c>
      <c r="G94" s="157">
        <f t="shared" si="1"/>
        <v>10710670.049999896</v>
      </c>
      <c r="H94" s="158"/>
      <c r="I94" s="158"/>
    </row>
    <row r="95" spans="2:9" s="126" customFormat="1" ht="15.95" customHeight="1">
      <c r="B95" s="154">
        <v>44510</v>
      </c>
      <c r="C95" s="159">
        <v>24809208508</v>
      </c>
      <c r="D95" s="156" t="s">
        <v>1389</v>
      </c>
      <c r="E95" s="157"/>
      <c r="F95" s="157">
        <v>2250000</v>
      </c>
      <c r="G95" s="157">
        <f t="shared" si="1"/>
        <v>8460670.0499998964</v>
      </c>
      <c r="H95" s="158"/>
      <c r="I95" s="158"/>
    </row>
    <row r="96" spans="2:9" s="126" customFormat="1" ht="15.95" customHeight="1">
      <c r="B96" s="154">
        <v>44511</v>
      </c>
      <c r="C96" s="159">
        <v>472136269</v>
      </c>
      <c r="D96" s="156" t="s">
        <v>1064</v>
      </c>
      <c r="E96" s="157">
        <v>317320</v>
      </c>
      <c r="F96" s="157"/>
      <c r="G96" s="157">
        <f t="shared" si="1"/>
        <v>8777990.0499998964</v>
      </c>
      <c r="H96" s="158"/>
      <c r="I96" s="158"/>
    </row>
    <row r="97" spans="2:9" s="126" customFormat="1" ht="15.95" customHeight="1">
      <c r="B97" s="154">
        <v>44511</v>
      </c>
      <c r="C97" s="159">
        <v>472136875</v>
      </c>
      <c r="D97" s="156" t="s">
        <v>1064</v>
      </c>
      <c r="E97" s="157">
        <v>23000</v>
      </c>
      <c r="F97" s="157"/>
      <c r="G97" s="157">
        <f t="shared" si="1"/>
        <v>8800990.0499998964</v>
      </c>
      <c r="H97" s="158"/>
      <c r="I97" s="158"/>
    </row>
    <row r="98" spans="2:9" s="126" customFormat="1" ht="15.95" customHeight="1">
      <c r="B98" s="154">
        <v>44511</v>
      </c>
      <c r="C98" s="155">
        <v>472136268</v>
      </c>
      <c r="D98" s="156" t="s">
        <v>1064</v>
      </c>
      <c r="E98" s="157">
        <v>228740</v>
      </c>
      <c r="F98" s="157"/>
      <c r="G98" s="157">
        <f t="shared" si="1"/>
        <v>9029730.0499998964</v>
      </c>
      <c r="H98" s="158"/>
      <c r="I98" s="158"/>
    </row>
    <row r="99" spans="2:9" s="126" customFormat="1" ht="15.95" customHeight="1">
      <c r="B99" s="154">
        <v>44511</v>
      </c>
      <c r="C99" s="155">
        <v>472136871</v>
      </c>
      <c r="D99" s="156" t="s">
        <v>1064</v>
      </c>
      <c r="E99" s="157">
        <v>470160</v>
      </c>
      <c r="F99" s="157"/>
      <c r="G99" s="157">
        <f t="shared" si="1"/>
        <v>9499890.0499998964</v>
      </c>
      <c r="H99" s="158"/>
      <c r="I99" s="158"/>
    </row>
    <row r="100" spans="2:9" s="126" customFormat="1" ht="15.95" customHeight="1">
      <c r="B100" s="154">
        <v>44511</v>
      </c>
      <c r="C100" s="155">
        <v>472136870</v>
      </c>
      <c r="D100" s="156" t="s">
        <v>1064</v>
      </c>
      <c r="E100" s="157">
        <v>575645</v>
      </c>
      <c r="F100" s="157"/>
      <c r="G100" s="157">
        <f t="shared" si="1"/>
        <v>10075535.049999896</v>
      </c>
      <c r="H100" s="158"/>
      <c r="I100" s="158"/>
    </row>
    <row r="101" spans="2:9" s="126" customFormat="1" ht="15.95" customHeight="1">
      <c r="B101" s="154">
        <v>44511</v>
      </c>
      <c r="C101" s="155">
        <v>20516716</v>
      </c>
      <c r="D101" s="156" t="s">
        <v>1064</v>
      </c>
      <c r="E101" s="157">
        <v>10000000</v>
      </c>
      <c r="F101" s="157"/>
      <c r="G101" s="157">
        <f t="shared" si="1"/>
        <v>20075535.049999896</v>
      </c>
      <c r="H101" s="158"/>
      <c r="I101" s="158"/>
    </row>
    <row r="102" spans="2:9" s="126" customFormat="1" ht="15.95" customHeight="1">
      <c r="B102" s="154">
        <v>44511</v>
      </c>
      <c r="C102" s="159">
        <v>20516715</v>
      </c>
      <c r="D102" s="156" t="s">
        <v>1064</v>
      </c>
      <c r="E102" s="157">
        <v>10000000</v>
      </c>
      <c r="F102" s="157"/>
      <c r="G102" s="157">
        <f t="shared" si="1"/>
        <v>30075535.049999896</v>
      </c>
      <c r="H102" s="158"/>
      <c r="I102" s="158"/>
    </row>
    <row r="103" spans="2:9" s="126" customFormat="1" ht="15.95" customHeight="1">
      <c r="B103" s="154">
        <v>44511</v>
      </c>
      <c r="C103" s="155">
        <v>24513</v>
      </c>
      <c r="D103" s="384" t="s">
        <v>2056</v>
      </c>
      <c r="E103" s="157"/>
      <c r="F103" s="157">
        <v>118542.18</v>
      </c>
      <c r="G103" s="157">
        <f t="shared" si="1"/>
        <v>29956992.869999897</v>
      </c>
      <c r="H103" s="158"/>
      <c r="I103" s="158"/>
    </row>
    <row r="104" spans="2:9" s="126" customFormat="1" ht="15.95" customHeight="1">
      <c r="B104" s="154">
        <v>44511</v>
      </c>
      <c r="C104" s="155">
        <v>24522</v>
      </c>
      <c r="D104" s="156" t="s">
        <v>1158</v>
      </c>
      <c r="E104" s="157"/>
      <c r="F104" s="157">
        <v>253459.02</v>
      </c>
      <c r="G104" s="157">
        <f t="shared" si="1"/>
        <v>29703533.849999897</v>
      </c>
      <c r="H104" s="158"/>
      <c r="I104" s="158"/>
    </row>
    <row r="105" spans="2:9" s="126" customFormat="1" ht="15.95" customHeight="1">
      <c r="B105" s="154">
        <v>44511</v>
      </c>
      <c r="C105" s="155">
        <v>24516</v>
      </c>
      <c r="D105" s="156" t="s">
        <v>1785</v>
      </c>
      <c r="E105" s="157"/>
      <c r="F105" s="157">
        <v>962508.85</v>
      </c>
      <c r="G105" s="157">
        <f t="shared" si="1"/>
        <v>28741024.999999896</v>
      </c>
      <c r="H105" s="158"/>
      <c r="I105" s="158"/>
    </row>
    <row r="106" spans="2:9" s="126" customFormat="1" ht="15.95" customHeight="1">
      <c r="B106" s="154">
        <v>44511</v>
      </c>
      <c r="C106" s="155">
        <v>24556</v>
      </c>
      <c r="D106" s="156" t="s">
        <v>1389</v>
      </c>
      <c r="E106" s="157"/>
      <c r="F106" s="157">
        <v>1591865</v>
      </c>
      <c r="G106" s="157">
        <f t="shared" si="1"/>
        <v>27149159.999999896</v>
      </c>
      <c r="H106" s="158"/>
      <c r="I106" s="158"/>
    </row>
    <row r="107" spans="2:9" s="126" customFormat="1" ht="15.95" customHeight="1">
      <c r="B107" s="154">
        <v>44511</v>
      </c>
      <c r="C107" s="159">
        <v>24465</v>
      </c>
      <c r="D107" s="384" t="s">
        <v>1348</v>
      </c>
      <c r="E107" s="157"/>
      <c r="F107" s="157">
        <v>9048000</v>
      </c>
      <c r="G107" s="157">
        <f t="shared" si="1"/>
        <v>18101159.999999896</v>
      </c>
      <c r="H107" s="158"/>
      <c r="I107" s="158"/>
    </row>
    <row r="108" spans="2:9" s="126" customFormat="1" ht="15.95" customHeight="1">
      <c r="B108" s="154">
        <v>44511</v>
      </c>
      <c r="C108" s="159">
        <v>24524</v>
      </c>
      <c r="D108" s="384" t="s">
        <v>1333</v>
      </c>
      <c r="E108" s="157"/>
      <c r="F108" s="157">
        <v>9100000</v>
      </c>
      <c r="G108" s="157">
        <f t="shared" si="1"/>
        <v>9001159.9999998957</v>
      </c>
      <c r="H108" s="158"/>
      <c r="I108" s="158"/>
    </row>
    <row r="109" spans="2:9" s="126" customFormat="1" ht="15.95" customHeight="1">
      <c r="B109" s="154">
        <v>44511</v>
      </c>
      <c r="C109" s="159">
        <v>24816669341</v>
      </c>
      <c r="D109" s="156" t="s">
        <v>1389</v>
      </c>
      <c r="E109" s="157"/>
      <c r="F109" s="157">
        <v>30000</v>
      </c>
      <c r="G109" s="157">
        <f t="shared" si="1"/>
        <v>8971159.9999998957</v>
      </c>
      <c r="H109" s="158"/>
      <c r="I109" s="158"/>
    </row>
    <row r="110" spans="2:9" s="126" customFormat="1" ht="15.95" customHeight="1">
      <c r="B110" s="154">
        <v>44511</v>
      </c>
      <c r="C110" s="159">
        <v>24816544073</v>
      </c>
      <c r="D110" s="156" t="s">
        <v>1389</v>
      </c>
      <c r="E110" s="157"/>
      <c r="F110" s="157">
        <v>655000</v>
      </c>
      <c r="G110" s="157">
        <f t="shared" si="1"/>
        <v>8316159.9999998957</v>
      </c>
      <c r="H110" s="158"/>
      <c r="I110" s="158"/>
    </row>
    <row r="111" spans="2:9" s="126" customFormat="1" ht="15.95" customHeight="1">
      <c r="B111" s="154">
        <v>44512</v>
      </c>
      <c r="C111" s="159">
        <v>20516718</v>
      </c>
      <c r="D111" s="156" t="s">
        <v>1064</v>
      </c>
      <c r="E111" s="157">
        <v>10000000</v>
      </c>
      <c r="F111" s="157"/>
      <c r="G111" s="157">
        <f t="shared" si="1"/>
        <v>18316159.999999896</v>
      </c>
      <c r="H111" s="158"/>
      <c r="I111" s="158"/>
    </row>
    <row r="112" spans="2:9" s="126" customFormat="1" ht="15.95" customHeight="1">
      <c r="B112" s="154">
        <v>44512</v>
      </c>
      <c r="C112" s="159">
        <v>20516717</v>
      </c>
      <c r="D112" s="156" t="s">
        <v>1064</v>
      </c>
      <c r="E112" s="157">
        <v>10000000</v>
      </c>
      <c r="F112" s="157"/>
      <c r="G112" s="157">
        <f t="shared" si="1"/>
        <v>28316159.999999896</v>
      </c>
      <c r="H112" s="158"/>
      <c r="I112" s="158"/>
    </row>
    <row r="113" spans="2:9" s="126" customFormat="1" ht="15.95" customHeight="1">
      <c r="B113" s="154">
        <v>44512</v>
      </c>
      <c r="C113" s="155">
        <v>24514</v>
      </c>
      <c r="D113" s="384" t="s">
        <v>1124</v>
      </c>
      <c r="E113" s="157"/>
      <c r="F113" s="157">
        <v>6420</v>
      </c>
      <c r="G113" s="157">
        <f t="shared" si="1"/>
        <v>28309739.999999896</v>
      </c>
      <c r="H113" s="158"/>
      <c r="I113" s="158"/>
    </row>
    <row r="114" spans="2:9" s="126" customFormat="1" ht="15.95" customHeight="1">
      <c r="B114" s="154">
        <v>44512</v>
      </c>
      <c r="C114" s="155">
        <v>24520</v>
      </c>
      <c r="D114" s="156" t="s">
        <v>2064</v>
      </c>
      <c r="E114" s="157"/>
      <c r="F114" s="157">
        <v>50000</v>
      </c>
      <c r="G114" s="157">
        <f t="shared" si="1"/>
        <v>28259739.999999896</v>
      </c>
      <c r="H114" s="158"/>
      <c r="I114" s="158"/>
    </row>
    <row r="115" spans="2:9" s="126" customFormat="1" ht="15.95" customHeight="1">
      <c r="B115" s="154">
        <v>44512</v>
      </c>
      <c r="C115" s="155">
        <v>24527</v>
      </c>
      <c r="D115" s="384" t="s">
        <v>1725</v>
      </c>
      <c r="E115" s="157"/>
      <c r="F115" s="157">
        <v>57630</v>
      </c>
      <c r="G115" s="157">
        <f t="shared" si="1"/>
        <v>28202109.999999896</v>
      </c>
      <c r="H115" s="158"/>
      <c r="I115" s="158"/>
    </row>
    <row r="116" spans="2:9" s="126" customFormat="1" ht="15.95" customHeight="1">
      <c r="B116" s="154">
        <v>44512</v>
      </c>
      <c r="C116" s="155">
        <v>24526</v>
      </c>
      <c r="D116" s="384" t="s">
        <v>1821</v>
      </c>
      <c r="E116" s="157"/>
      <c r="F116" s="157">
        <v>59626.71</v>
      </c>
      <c r="G116" s="157">
        <f t="shared" si="1"/>
        <v>28142483.289999895</v>
      </c>
      <c r="H116" s="158"/>
      <c r="I116" s="158"/>
    </row>
    <row r="117" spans="2:9" s="126" customFormat="1" ht="15.95" customHeight="1">
      <c r="B117" s="154">
        <v>44512</v>
      </c>
      <c r="C117" s="155">
        <v>24519</v>
      </c>
      <c r="D117" s="384" t="s">
        <v>2064</v>
      </c>
      <c r="E117" s="157"/>
      <c r="F117" s="157">
        <v>66400</v>
      </c>
      <c r="G117" s="157">
        <f t="shared" si="1"/>
        <v>28076083.289999895</v>
      </c>
      <c r="H117" s="158"/>
      <c r="I117" s="158"/>
    </row>
    <row r="118" spans="2:9" s="126" customFormat="1" ht="15.95" customHeight="1">
      <c r="B118" s="154">
        <v>44512</v>
      </c>
      <c r="C118" s="155">
        <v>24595</v>
      </c>
      <c r="D118" s="156" t="s">
        <v>2114</v>
      </c>
      <c r="E118" s="157"/>
      <c r="F118" s="157">
        <v>72177.350000000006</v>
      </c>
      <c r="G118" s="157">
        <f t="shared" si="1"/>
        <v>28003905.939999893</v>
      </c>
      <c r="H118" s="158"/>
      <c r="I118" s="158"/>
    </row>
    <row r="119" spans="2:9" s="126" customFormat="1" ht="15.95" customHeight="1">
      <c r="B119" s="154">
        <v>44512</v>
      </c>
      <c r="C119" s="155">
        <v>24534</v>
      </c>
      <c r="D119" s="384" t="s">
        <v>1112</v>
      </c>
      <c r="E119" s="157"/>
      <c r="F119" s="157">
        <v>127800.07</v>
      </c>
      <c r="G119" s="157">
        <f t="shared" si="1"/>
        <v>27876105.869999893</v>
      </c>
      <c r="H119" s="158"/>
      <c r="I119" s="158"/>
    </row>
    <row r="120" spans="2:9" s="126" customFormat="1" ht="15.95" customHeight="1">
      <c r="B120" s="154">
        <v>44512</v>
      </c>
      <c r="C120" s="155">
        <v>24545</v>
      </c>
      <c r="D120" s="384" t="s">
        <v>1319</v>
      </c>
      <c r="E120" s="157"/>
      <c r="F120" s="157">
        <v>683447.4</v>
      </c>
      <c r="G120" s="157">
        <f t="shared" si="1"/>
        <v>27192658.469999894</v>
      </c>
      <c r="H120" s="158"/>
      <c r="I120" s="158"/>
    </row>
    <row r="121" spans="2:9" s="126" customFormat="1" ht="15.95" customHeight="1">
      <c r="B121" s="154">
        <v>44512</v>
      </c>
      <c r="C121" s="155">
        <v>24543</v>
      </c>
      <c r="D121" s="384" t="s">
        <v>1332</v>
      </c>
      <c r="E121" s="157"/>
      <c r="F121" s="157">
        <v>761267.69</v>
      </c>
      <c r="G121" s="157">
        <f t="shared" si="1"/>
        <v>26431390.779999893</v>
      </c>
      <c r="H121" s="158"/>
      <c r="I121" s="158"/>
    </row>
    <row r="122" spans="2:9" s="126" customFormat="1" ht="15.95" customHeight="1">
      <c r="B122" s="154">
        <v>44512</v>
      </c>
      <c r="C122" s="155">
        <v>24517</v>
      </c>
      <c r="D122" s="156" t="s">
        <v>1257</v>
      </c>
      <c r="E122" s="157"/>
      <c r="F122" s="157">
        <v>3704490.37</v>
      </c>
      <c r="G122" s="157">
        <f t="shared" si="1"/>
        <v>22726900.409999892</v>
      </c>
      <c r="H122" s="158"/>
      <c r="I122" s="158"/>
    </row>
    <row r="123" spans="2:9" s="126" customFormat="1" ht="15.95" customHeight="1">
      <c r="B123" s="154">
        <v>44512</v>
      </c>
      <c r="C123" s="155">
        <v>24515</v>
      </c>
      <c r="D123" s="156" t="s">
        <v>2055</v>
      </c>
      <c r="E123" s="157"/>
      <c r="F123" s="157">
        <v>4136679.01</v>
      </c>
      <c r="G123" s="157">
        <f t="shared" si="1"/>
        <v>18590221.399999894</v>
      </c>
      <c r="H123" s="158"/>
      <c r="I123" s="158"/>
    </row>
    <row r="124" spans="2:9" s="126" customFormat="1" ht="15.95" customHeight="1">
      <c r="B124" s="154">
        <v>44512</v>
      </c>
      <c r="C124" s="155">
        <v>24549</v>
      </c>
      <c r="D124" s="156" t="s">
        <v>1158</v>
      </c>
      <c r="E124" s="157"/>
      <c r="F124" s="157">
        <v>2297775.09</v>
      </c>
      <c r="G124" s="157">
        <f t="shared" si="1"/>
        <v>16292446.309999894</v>
      </c>
      <c r="H124" s="158"/>
      <c r="I124" s="158"/>
    </row>
    <row r="125" spans="2:9" s="126" customFormat="1" ht="15.95" customHeight="1">
      <c r="B125" s="154">
        <v>44512</v>
      </c>
      <c r="C125" s="155">
        <v>24541</v>
      </c>
      <c r="D125" s="156" t="s">
        <v>1158</v>
      </c>
      <c r="E125" s="157"/>
      <c r="F125" s="157">
        <v>2660310.79</v>
      </c>
      <c r="G125" s="157">
        <f t="shared" si="1"/>
        <v>13632135.519999895</v>
      </c>
      <c r="H125" s="158"/>
      <c r="I125" s="158"/>
    </row>
    <row r="126" spans="2:9" s="126" customFormat="1" ht="15.95" customHeight="1">
      <c r="B126" s="154">
        <v>44512</v>
      </c>
      <c r="C126" s="155">
        <v>24824630271</v>
      </c>
      <c r="D126" s="156" t="s">
        <v>1389</v>
      </c>
      <c r="E126" s="157"/>
      <c r="F126" s="157">
        <v>1800000</v>
      </c>
      <c r="G126" s="157">
        <f t="shared" si="1"/>
        <v>11832135.519999895</v>
      </c>
      <c r="H126" s="158"/>
      <c r="I126" s="158"/>
    </row>
    <row r="127" spans="2:9" s="126" customFormat="1" ht="15.95" customHeight="1">
      <c r="B127" s="154">
        <v>44512</v>
      </c>
      <c r="C127" s="155">
        <v>24823215785</v>
      </c>
      <c r="D127" s="156" t="s">
        <v>1389</v>
      </c>
      <c r="E127" s="157"/>
      <c r="F127" s="157">
        <v>3500000</v>
      </c>
      <c r="G127" s="157">
        <f t="shared" si="1"/>
        <v>8332135.5199998952</v>
      </c>
      <c r="H127" s="158"/>
      <c r="I127" s="158"/>
    </row>
    <row r="128" spans="2:9" s="126" customFormat="1" ht="15.95" customHeight="1">
      <c r="B128" s="154">
        <v>44515</v>
      </c>
      <c r="C128" s="155">
        <v>24846654625</v>
      </c>
      <c r="D128" s="156" t="s">
        <v>1064</v>
      </c>
      <c r="E128" s="157">
        <v>29000</v>
      </c>
      <c r="F128" s="157"/>
      <c r="G128" s="157">
        <f t="shared" si="1"/>
        <v>8361135.5199998952</v>
      </c>
      <c r="H128" s="158"/>
      <c r="I128" s="158"/>
    </row>
    <row r="129" spans="2:9" s="126" customFormat="1" ht="15.95" customHeight="1">
      <c r="B129" s="154">
        <v>44516</v>
      </c>
      <c r="C129" s="155">
        <v>24855464308</v>
      </c>
      <c r="D129" s="156" t="s">
        <v>1064</v>
      </c>
      <c r="E129" s="157">
        <v>200000</v>
      </c>
      <c r="F129" s="157"/>
      <c r="G129" s="157">
        <f t="shared" si="1"/>
        <v>8561135.5199998952</v>
      </c>
      <c r="H129" s="158"/>
      <c r="I129" s="158"/>
    </row>
    <row r="130" spans="2:9" s="126" customFormat="1" ht="15.95" customHeight="1">
      <c r="B130" s="154">
        <v>44516</v>
      </c>
      <c r="C130" s="155">
        <v>24855458343</v>
      </c>
      <c r="D130" s="156" t="s">
        <v>1064</v>
      </c>
      <c r="E130" s="157">
        <v>200000</v>
      </c>
      <c r="F130" s="157"/>
      <c r="G130" s="157">
        <f t="shared" si="1"/>
        <v>8761135.5199998952</v>
      </c>
      <c r="H130" s="158"/>
      <c r="I130" s="158"/>
    </row>
    <row r="131" spans="2:9" s="126" customFormat="1" ht="15.95" customHeight="1">
      <c r="B131" s="154">
        <v>44516</v>
      </c>
      <c r="C131" s="155">
        <v>24558</v>
      </c>
      <c r="D131" s="384" t="s">
        <v>1381</v>
      </c>
      <c r="E131" s="157"/>
      <c r="F131" s="157">
        <v>20580.009999999998</v>
      </c>
      <c r="G131" s="157">
        <f t="shared" si="1"/>
        <v>8740555.5099998955</v>
      </c>
      <c r="H131" s="158"/>
      <c r="I131" s="158"/>
    </row>
    <row r="132" spans="2:9" s="126" customFormat="1" ht="15.95" customHeight="1">
      <c r="B132" s="154">
        <v>44516</v>
      </c>
      <c r="C132" s="155">
        <v>24557</v>
      </c>
      <c r="D132" s="384" t="s">
        <v>1334</v>
      </c>
      <c r="E132" s="157"/>
      <c r="F132" s="157">
        <v>27938.57</v>
      </c>
      <c r="G132" s="157">
        <f t="shared" si="1"/>
        <v>8712616.9399998952</v>
      </c>
      <c r="H132" s="158"/>
      <c r="I132" s="158"/>
    </row>
    <row r="133" spans="2:9" s="126" customFormat="1" ht="15.95" customHeight="1">
      <c r="B133" s="154">
        <v>44516</v>
      </c>
      <c r="C133" s="155">
        <v>24635</v>
      </c>
      <c r="D133" s="384" t="s">
        <v>2139</v>
      </c>
      <c r="E133" s="157"/>
      <c r="F133" s="157">
        <v>64640.52</v>
      </c>
      <c r="G133" s="157">
        <f t="shared" si="1"/>
        <v>8647976.4199998956</v>
      </c>
      <c r="H133" s="158"/>
      <c r="I133" s="158"/>
    </row>
    <row r="134" spans="2:9" s="126" customFormat="1" ht="15.95" customHeight="1">
      <c r="B134" s="154">
        <v>44517</v>
      </c>
      <c r="C134" s="155">
        <v>471818849</v>
      </c>
      <c r="D134" s="156" t="s">
        <v>1064</v>
      </c>
      <c r="E134" s="157">
        <v>30390</v>
      </c>
      <c r="F134" s="157"/>
      <c r="G134" s="157">
        <f t="shared" si="1"/>
        <v>8678366.4199998956</v>
      </c>
      <c r="H134" s="158"/>
      <c r="I134" s="158"/>
    </row>
    <row r="135" spans="2:9" s="126" customFormat="1" ht="15.95" customHeight="1">
      <c r="B135" s="154">
        <v>44517</v>
      </c>
      <c r="C135" s="155">
        <v>471818795</v>
      </c>
      <c r="D135" s="156" t="s">
        <v>1064</v>
      </c>
      <c r="E135" s="157">
        <v>44800</v>
      </c>
      <c r="F135" s="157"/>
      <c r="G135" s="157">
        <f t="shared" si="1"/>
        <v>8723166.4199998956</v>
      </c>
      <c r="H135" s="158"/>
      <c r="I135" s="158"/>
    </row>
    <row r="136" spans="2:9" s="126" customFormat="1" ht="15.95" customHeight="1">
      <c r="B136" s="154">
        <v>44517</v>
      </c>
      <c r="C136" s="155">
        <v>471818797</v>
      </c>
      <c r="D136" s="156" t="s">
        <v>1064</v>
      </c>
      <c r="E136" s="157">
        <v>355315</v>
      </c>
      <c r="F136" s="157"/>
      <c r="G136" s="157">
        <f t="shared" si="1"/>
        <v>9078481.4199998956</v>
      </c>
      <c r="H136" s="158"/>
      <c r="I136" s="158"/>
    </row>
    <row r="137" spans="2:9" s="126" customFormat="1" ht="15.95" customHeight="1">
      <c r="B137" s="154">
        <v>44517</v>
      </c>
      <c r="C137" s="155">
        <v>471818850</v>
      </c>
      <c r="D137" s="156" t="s">
        <v>1064</v>
      </c>
      <c r="E137" s="157">
        <v>374490</v>
      </c>
      <c r="F137" s="157"/>
      <c r="G137" s="157">
        <f t="shared" si="1"/>
        <v>9452971.4199998956</v>
      </c>
      <c r="H137" s="158"/>
      <c r="I137" s="158"/>
    </row>
    <row r="138" spans="2:9" s="126" customFormat="1" ht="15.95" customHeight="1">
      <c r="B138" s="154">
        <v>44517</v>
      </c>
      <c r="C138" s="155">
        <v>471818851</v>
      </c>
      <c r="D138" s="156" t="s">
        <v>1064</v>
      </c>
      <c r="E138" s="157">
        <v>405620</v>
      </c>
      <c r="F138" s="157"/>
      <c r="G138" s="157">
        <f t="shared" si="1"/>
        <v>9858591.4199998956</v>
      </c>
      <c r="H138" s="158"/>
      <c r="I138" s="158"/>
    </row>
    <row r="139" spans="2:9" s="126" customFormat="1" ht="15.95" customHeight="1">
      <c r="B139" s="154">
        <v>44517</v>
      </c>
      <c r="C139" s="155">
        <v>471818796</v>
      </c>
      <c r="D139" s="156" t="s">
        <v>1064</v>
      </c>
      <c r="E139" s="157">
        <v>411980</v>
      </c>
      <c r="F139" s="157"/>
      <c r="G139" s="157">
        <f t="shared" si="1"/>
        <v>10270571.419999896</v>
      </c>
      <c r="H139" s="158"/>
      <c r="I139" s="158"/>
    </row>
    <row r="140" spans="2:9" s="126" customFormat="1" ht="15.95" customHeight="1">
      <c r="B140" s="154">
        <v>44517</v>
      </c>
      <c r="C140" s="155">
        <v>20518338</v>
      </c>
      <c r="D140" s="156" t="s">
        <v>1064</v>
      </c>
      <c r="E140" s="157">
        <v>1591865</v>
      </c>
      <c r="F140" s="157"/>
      <c r="G140" s="157">
        <f t="shared" si="1"/>
        <v>11862436.419999896</v>
      </c>
      <c r="H140" s="158"/>
      <c r="I140" s="158"/>
    </row>
    <row r="141" spans="2:9" s="126" customFormat="1" ht="15.95" customHeight="1">
      <c r="B141" s="154">
        <v>44517</v>
      </c>
      <c r="C141" s="155">
        <v>20516719</v>
      </c>
      <c r="D141" s="156" t="s">
        <v>1064</v>
      </c>
      <c r="E141" s="157">
        <v>10000000</v>
      </c>
      <c r="F141" s="157"/>
      <c r="G141" s="157">
        <f t="shared" si="1"/>
        <v>21862436.419999897</v>
      </c>
      <c r="H141" s="158"/>
      <c r="I141" s="158"/>
    </row>
    <row r="142" spans="2:9" s="126" customFormat="1" ht="15.95" customHeight="1">
      <c r="B142" s="154">
        <v>44517</v>
      </c>
      <c r="C142" s="155">
        <v>24572</v>
      </c>
      <c r="D142" s="156" t="s">
        <v>2093</v>
      </c>
      <c r="E142" s="157"/>
      <c r="F142" s="157">
        <v>9882.23</v>
      </c>
      <c r="G142" s="157">
        <f t="shared" si="1"/>
        <v>21852554.189999897</v>
      </c>
      <c r="H142" s="158"/>
      <c r="I142" s="158"/>
    </row>
    <row r="143" spans="2:9" s="126" customFormat="1" ht="15.95" customHeight="1">
      <c r="B143" s="154">
        <v>44517</v>
      </c>
      <c r="C143" s="155">
        <v>24631</v>
      </c>
      <c r="D143" s="156" t="s">
        <v>2115</v>
      </c>
      <c r="E143" s="157"/>
      <c r="F143" s="157">
        <v>11229.81</v>
      </c>
      <c r="G143" s="157">
        <f t="shared" si="1"/>
        <v>21841324.379999898</v>
      </c>
      <c r="H143" s="158"/>
      <c r="I143" s="158"/>
    </row>
    <row r="144" spans="2:9" s="126" customFormat="1" ht="15.95" customHeight="1">
      <c r="B144" s="154">
        <v>44517</v>
      </c>
      <c r="C144" s="155">
        <v>24585</v>
      </c>
      <c r="D144" s="156" t="s">
        <v>2105</v>
      </c>
      <c r="E144" s="157"/>
      <c r="F144" s="157">
        <v>12500</v>
      </c>
      <c r="G144" s="157">
        <f t="shared" si="1"/>
        <v>21828824.379999898</v>
      </c>
      <c r="H144" s="158"/>
      <c r="I144" s="158"/>
    </row>
    <row r="145" spans="2:9" s="126" customFormat="1" ht="15.95" customHeight="1">
      <c r="B145" s="154">
        <v>44517</v>
      </c>
      <c r="C145" s="155">
        <v>24636</v>
      </c>
      <c r="D145" s="384" t="s">
        <v>1142</v>
      </c>
      <c r="E145" s="157"/>
      <c r="F145" s="157">
        <v>13500</v>
      </c>
      <c r="G145" s="157">
        <f t="shared" si="1"/>
        <v>21815324.379999898</v>
      </c>
      <c r="H145" s="158"/>
      <c r="I145" s="158"/>
    </row>
    <row r="146" spans="2:9" s="126" customFormat="1" ht="15.95" customHeight="1">
      <c r="B146" s="154">
        <v>44517</v>
      </c>
      <c r="C146" s="155">
        <v>24584</v>
      </c>
      <c r="D146" s="156" t="s">
        <v>2104</v>
      </c>
      <c r="E146" s="157"/>
      <c r="F146" s="157">
        <v>17056.41</v>
      </c>
      <c r="G146" s="157">
        <f t="shared" ref="G146:G209" si="2">+G145+E146-F146</f>
        <v>21798267.969999898</v>
      </c>
      <c r="H146" s="158"/>
      <c r="I146" s="158"/>
    </row>
    <row r="147" spans="2:9" s="126" customFormat="1" ht="15.95" customHeight="1">
      <c r="B147" s="154">
        <v>44517</v>
      </c>
      <c r="C147" s="155">
        <v>24589</v>
      </c>
      <c r="D147" s="156" t="s">
        <v>2108</v>
      </c>
      <c r="E147" s="157"/>
      <c r="F147" s="157">
        <v>17306.41</v>
      </c>
      <c r="G147" s="157">
        <f t="shared" si="2"/>
        <v>21780961.559999898</v>
      </c>
      <c r="H147" s="158"/>
      <c r="I147" s="158"/>
    </row>
    <row r="148" spans="2:9" s="126" customFormat="1" ht="15.95" customHeight="1">
      <c r="B148" s="154">
        <v>44517</v>
      </c>
      <c r="C148" s="155">
        <v>24607</v>
      </c>
      <c r="D148" s="384" t="s">
        <v>1146</v>
      </c>
      <c r="E148" s="157"/>
      <c r="F148" s="157">
        <v>18000</v>
      </c>
      <c r="G148" s="157">
        <f t="shared" si="2"/>
        <v>21762961.559999898</v>
      </c>
      <c r="H148" s="158"/>
      <c r="I148" s="158"/>
    </row>
    <row r="149" spans="2:9" s="126" customFormat="1" ht="15.95" customHeight="1">
      <c r="B149" s="154">
        <v>44517</v>
      </c>
      <c r="C149" s="155">
        <v>24609</v>
      </c>
      <c r="D149" s="384" t="s">
        <v>1851</v>
      </c>
      <c r="E149" s="157"/>
      <c r="F149" s="157">
        <v>18000</v>
      </c>
      <c r="G149" s="157">
        <f t="shared" si="2"/>
        <v>21744961.559999898</v>
      </c>
      <c r="H149" s="158"/>
      <c r="I149" s="158"/>
    </row>
    <row r="150" spans="2:9" s="126" customFormat="1" ht="15.95" customHeight="1">
      <c r="B150" s="154">
        <v>44517</v>
      </c>
      <c r="C150" s="155">
        <v>24615</v>
      </c>
      <c r="D150" s="384" t="s">
        <v>1858</v>
      </c>
      <c r="E150" s="157"/>
      <c r="F150" s="157">
        <v>18000</v>
      </c>
      <c r="G150" s="157">
        <f t="shared" si="2"/>
        <v>21726961.559999898</v>
      </c>
      <c r="H150" s="158"/>
      <c r="I150" s="158"/>
    </row>
    <row r="151" spans="2:9" s="126" customFormat="1" ht="15.95" customHeight="1">
      <c r="B151" s="154">
        <v>44517</v>
      </c>
      <c r="C151" s="155">
        <v>24647</v>
      </c>
      <c r="D151" s="384" t="s">
        <v>2135</v>
      </c>
      <c r="E151" s="157"/>
      <c r="F151" s="157">
        <v>18000</v>
      </c>
      <c r="G151" s="157">
        <f t="shared" si="2"/>
        <v>21708961.559999898</v>
      </c>
      <c r="H151" s="158"/>
      <c r="I151" s="158"/>
    </row>
    <row r="152" spans="2:9" s="126" customFormat="1" ht="15.95" customHeight="1">
      <c r="B152" s="154">
        <v>44517</v>
      </c>
      <c r="C152" s="155">
        <v>24600</v>
      </c>
      <c r="D152" s="384" t="s">
        <v>1856</v>
      </c>
      <c r="E152" s="157"/>
      <c r="F152" s="157">
        <v>18587.900000000001</v>
      </c>
      <c r="G152" s="157">
        <f t="shared" si="2"/>
        <v>21690373.6599999</v>
      </c>
      <c r="H152" s="158"/>
      <c r="I152" s="158"/>
    </row>
    <row r="153" spans="2:9" s="126" customFormat="1" ht="15.95" customHeight="1">
      <c r="B153" s="154">
        <v>44517</v>
      </c>
      <c r="C153" s="155">
        <v>24587</v>
      </c>
      <c r="D153" s="156" t="s">
        <v>2106</v>
      </c>
      <c r="E153" s="157"/>
      <c r="F153" s="157">
        <v>19229.349999999999</v>
      </c>
      <c r="G153" s="157">
        <f t="shared" si="2"/>
        <v>21671144.309999898</v>
      </c>
      <c r="H153" s="158"/>
      <c r="I153" s="158"/>
    </row>
    <row r="154" spans="2:9" s="126" customFormat="1" ht="15.95" customHeight="1">
      <c r="B154" s="154">
        <v>44517</v>
      </c>
      <c r="C154" s="155">
        <v>24528</v>
      </c>
      <c r="D154" s="384" t="s">
        <v>1066</v>
      </c>
      <c r="E154" s="157"/>
      <c r="F154" s="157">
        <v>20336.400000000001</v>
      </c>
      <c r="G154" s="157">
        <f t="shared" si="2"/>
        <v>21650807.9099999</v>
      </c>
      <c r="H154" s="158"/>
      <c r="I154" s="158"/>
    </row>
    <row r="155" spans="2:9" s="126" customFormat="1" ht="15.95" customHeight="1">
      <c r="B155" s="154">
        <v>44517</v>
      </c>
      <c r="C155" s="155">
        <v>24566</v>
      </c>
      <c r="D155" s="156" t="s">
        <v>2088</v>
      </c>
      <c r="E155" s="157"/>
      <c r="F155" s="157">
        <v>21344.02</v>
      </c>
      <c r="G155" s="157">
        <f t="shared" si="2"/>
        <v>21629463.8899999</v>
      </c>
      <c r="H155" s="158"/>
      <c r="I155" s="158"/>
    </row>
    <row r="156" spans="2:9" s="126" customFormat="1" ht="15.95" customHeight="1">
      <c r="B156" s="154">
        <v>44517</v>
      </c>
      <c r="C156" s="155">
        <v>24580</v>
      </c>
      <c r="D156" s="156" t="s">
        <v>2100</v>
      </c>
      <c r="E156" s="157"/>
      <c r="F156" s="157">
        <v>22514.47</v>
      </c>
      <c r="G156" s="157">
        <f t="shared" si="2"/>
        <v>21606949.419999901</v>
      </c>
      <c r="H156" s="158"/>
      <c r="I156" s="158"/>
    </row>
    <row r="157" spans="2:9" s="126" customFormat="1" ht="15.95" customHeight="1">
      <c r="B157" s="154">
        <v>44517</v>
      </c>
      <c r="C157" s="155">
        <v>24582</v>
      </c>
      <c r="D157" s="156" t="s">
        <v>2102</v>
      </c>
      <c r="E157" s="157"/>
      <c r="F157" s="157">
        <v>23664.82</v>
      </c>
      <c r="G157" s="157">
        <f t="shared" si="2"/>
        <v>21583284.599999901</v>
      </c>
      <c r="H157" s="158"/>
      <c r="I157" s="158"/>
    </row>
    <row r="158" spans="2:9" s="126" customFormat="1" ht="15.95" customHeight="1">
      <c r="B158" s="154">
        <v>44517</v>
      </c>
      <c r="C158" s="155">
        <v>24632</v>
      </c>
      <c r="D158" s="156" t="s">
        <v>2116</v>
      </c>
      <c r="E158" s="157"/>
      <c r="F158" s="157">
        <v>24422.01</v>
      </c>
      <c r="G158" s="157">
        <f t="shared" si="2"/>
        <v>21558862.589999899</v>
      </c>
      <c r="H158" s="158"/>
      <c r="I158" s="158"/>
    </row>
    <row r="159" spans="2:9" s="126" customFormat="1" ht="15.95" customHeight="1">
      <c r="B159" s="154">
        <v>44517</v>
      </c>
      <c r="C159" s="155">
        <v>24575</v>
      </c>
      <c r="D159" s="156" t="s">
        <v>2095</v>
      </c>
      <c r="E159" s="157"/>
      <c r="F159" s="157">
        <v>25228.43</v>
      </c>
      <c r="G159" s="157">
        <f t="shared" si="2"/>
        <v>21533634.1599999</v>
      </c>
      <c r="H159" s="158"/>
      <c r="I159" s="158"/>
    </row>
    <row r="160" spans="2:9" s="126" customFormat="1" ht="15.95" customHeight="1">
      <c r="B160" s="154">
        <v>44517</v>
      </c>
      <c r="C160" s="155">
        <v>24672</v>
      </c>
      <c r="D160" s="384" t="s">
        <v>1150</v>
      </c>
      <c r="E160" s="157"/>
      <c r="F160" s="157">
        <v>27000</v>
      </c>
      <c r="G160" s="157">
        <f t="shared" si="2"/>
        <v>21506634.1599999</v>
      </c>
      <c r="H160" s="158"/>
      <c r="I160" s="158"/>
    </row>
    <row r="161" spans="2:9" s="126" customFormat="1" ht="15.95" customHeight="1">
      <c r="B161" s="154">
        <v>44517</v>
      </c>
      <c r="C161" s="155">
        <v>24673</v>
      </c>
      <c r="D161" s="384" t="s">
        <v>2130</v>
      </c>
      <c r="E161" s="157"/>
      <c r="F161" s="157">
        <v>27000</v>
      </c>
      <c r="G161" s="157">
        <f t="shared" si="2"/>
        <v>21479634.1599999</v>
      </c>
      <c r="H161" s="158"/>
      <c r="I161" s="158"/>
    </row>
    <row r="162" spans="2:9" s="126" customFormat="1" ht="15.95" customHeight="1">
      <c r="B162" s="154">
        <v>44517</v>
      </c>
      <c r="C162" s="155">
        <v>24564</v>
      </c>
      <c r="D162" s="156" t="s">
        <v>2086</v>
      </c>
      <c r="E162" s="157"/>
      <c r="F162" s="157">
        <v>27688.05</v>
      </c>
      <c r="G162" s="157">
        <f t="shared" si="2"/>
        <v>21451946.109999899</v>
      </c>
      <c r="H162" s="158"/>
      <c r="I162" s="158"/>
    </row>
    <row r="163" spans="2:9" s="126" customFormat="1" ht="15.95" customHeight="1">
      <c r="B163" s="154">
        <v>44517</v>
      </c>
      <c r="C163" s="155">
        <v>24605</v>
      </c>
      <c r="D163" s="384" t="s">
        <v>2025</v>
      </c>
      <c r="E163" s="157"/>
      <c r="F163" s="157">
        <v>28250</v>
      </c>
      <c r="G163" s="157">
        <f t="shared" si="2"/>
        <v>21423696.109999899</v>
      </c>
      <c r="H163" s="158"/>
      <c r="I163" s="158"/>
    </row>
    <row r="164" spans="2:9" s="126" customFormat="1" ht="15.95" customHeight="1">
      <c r="B164" s="154">
        <v>44517</v>
      </c>
      <c r="C164" s="155">
        <v>24644</v>
      </c>
      <c r="D164" s="156" t="s">
        <v>2123</v>
      </c>
      <c r="E164" s="157"/>
      <c r="F164" s="157">
        <v>29013.35</v>
      </c>
      <c r="G164" s="157">
        <f t="shared" si="2"/>
        <v>21394682.759999897</v>
      </c>
      <c r="H164" s="158"/>
      <c r="I164" s="158"/>
    </row>
    <row r="165" spans="2:9" s="126" customFormat="1" ht="15.95" customHeight="1">
      <c r="B165" s="154">
        <v>44517</v>
      </c>
      <c r="C165" s="155">
        <v>24571</v>
      </c>
      <c r="D165" s="156" t="s">
        <v>2092</v>
      </c>
      <c r="E165" s="157"/>
      <c r="F165" s="157">
        <v>33561.760000000002</v>
      </c>
      <c r="G165" s="157">
        <f t="shared" si="2"/>
        <v>21361120.999999896</v>
      </c>
      <c r="H165" s="158"/>
      <c r="I165" s="158"/>
    </row>
    <row r="166" spans="2:9" s="126" customFormat="1" ht="15.95" customHeight="1">
      <c r="B166" s="154">
        <v>44517</v>
      </c>
      <c r="C166" s="155">
        <v>24606</v>
      </c>
      <c r="D166" s="384" t="s">
        <v>1171</v>
      </c>
      <c r="E166" s="157"/>
      <c r="F166" s="157">
        <v>33900</v>
      </c>
      <c r="G166" s="157">
        <f t="shared" si="2"/>
        <v>21327220.999999896</v>
      </c>
      <c r="H166" s="158"/>
      <c r="I166" s="158"/>
    </row>
    <row r="167" spans="2:9" s="126" customFormat="1" ht="15.95" customHeight="1">
      <c r="B167" s="154">
        <v>44517</v>
      </c>
      <c r="C167" s="155">
        <v>24610</v>
      </c>
      <c r="D167" s="384" t="s">
        <v>2024</v>
      </c>
      <c r="E167" s="157"/>
      <c r="F167" s="157">
        <v>33900</v>
      </c>
      <c r="G167" s="157">
        <f t="shared" si="2"/>
        <v>21293320.999999896</v>
      </c>
      <c r="H167" s="158"/>
      <c r="I167" s="158"/>
    </row>
    <row r="168" spans="2:9" s="126" customFormat="1" ht="15.95" customHeight="1">
      <c r="B168" s="154">
        <v>44517</v>
      </c>
      <c r="C168" s="155">
        <v>24614</v>
      </c>
      <c r="D168" s="384" t="s">
        <v>1165</v>
      </c>
      <c r="E168" s="157"/>
      <c r="F168" s="157">
        <v>33900</v>
      </c>
      <c r="G168" s="157">
        <f t="shared" si="2"/>
        <v>21259420.999999896</v>
      </c>
      <c r="H168" s="158"/>
      <c r="I168" s="158"/>
    </row>
    <row r="169" spans="2:9" s="126" customFormat="1" ht="15.95" customHeight="1">
      <c r="B169" s="154">
        <v>44517</v>
      </c>
      <c r="C169" s="155">
        <v>24623</v>
      </c>
      <c r="D169" s="384" t="s">
        <v>1853</v>
      </c>
      <c r="E169" s="157"/>
      <c r="F169" s="157">
        <v>45000</v>
      </c>
      <c r="G169" s="157">
        <f t="shared" si="2"/>
        <v>21214420.999999896</v>
      </c>
      <c r="H169" s="158"/>
      <c r="I169" s="158"/>
    </row>
    <row r="170" spans="2:9" s="126" customFormat="1" ht="15.95" customHeight="1">
      <c r="B170" s="154">
        <v>44517</v>
      </c>
      <c r="C170" s="155">
        <v>24619</v>
      </c>
      <c r="D170" s="384" t="s">
        <v>1153</v>
      </c>
      <c r="E170" s="157"/>
      <c r="F170" s="157">
        <v>45200</v>
      </c>
      <c r="G170" s="157">
        <f t="shared" si="2"/>
        <v>21169220.999999896</v>
      </c>
      <c r="H170" s="158"/>
      <c r="I170" s="158"/>
    </row>
    <row r="171" spans="2:9" s="126" customFormat="1" ht="15.95" customHeight="1">
      <c r="B171" s="154">
        <v>44517</v>
      </c>
      <c r="C171" s="155">
        <v>24627</v>
      </c>
      <c r="D171" s="384" t="s">
        <v>2134</v>
      </c>
      <c r="E171" s="157"/>
      <c r="F171" s="157">
        <v>45200</v>
      </c>
      <c r="G171" s="157">
        <f t="shared" si="2"/>
        <v>21124020.999999896</v>
      </c>
      <c r="H171" s="158"/>
      <c r="I171" s="158"/>
    </row>
    <row r="172" spans="2:9" s="126" customFormat="1" ht="15.95" customHeight="1">
      <c r="B172" s="154">
        <v>44517</v>
      </c>
      <c r="C172" s="155">
        <v>24581</v>
      </c>
      <c r="D172" s="156" t="s">
        <v>2101</v>
      </c>
      <c r="E172" s="157"/>
      <c r="F172" s="157">
        <v>48454.080000000002</v>
      </c>
      <c r="G172" s="157">
        <f t="shared" si="2"/>
        <v>21075566.919999897</v>
      </c>
      <c r="H172" s="158"/>
      <c r="I172" s="158"/>
    </row>
    <row r="173" spans="2:9" s="126" customFormat="1" ht="15.95" customHeight="1">
      <c r="B173" s="154">
        <v>44517</v>
      </c>
      <c r="C173" s="155">
        <v>24561</v>
      </c>
      <c r="D173" s="156" t="s">
        <v>2083</v>
      </c>
      <c r="E173" s="157"/>
      <c r="F173" s="157">
        <v>52177.35</v>
      </c>
      <c r="G173" s="157">
        <f t="shared" si="2"/>
        <v>21023389.569999896</v>
      </c>
      <c r="H173" s="158"/>
      <c r="I173" s="158"/>
    </row>
    <row r="174" spans="2:9" s="126" customFormat="1" ht="15.95" customHeight="1">
      <c r="B174" s="154">
        <v>44517</v>
      </c>
      <c r="C174" s="155">
        <v>24565</v>
      </c>
      <c r="D174" s="156" t="s">
        <v>2087</v>
      </c>
      <c r="E174" s="157"/>
      <c r="F174" s="157">
        <v>52177.35</v>
      </c>
      <c r="G174" s="157">
        <f t="shared" si="2"/>
        <v>20971212.219999894</v>
      </c>
      <c r="H174" s="158"/>
      <c r="I174" s="158"/>
    </row>
    <row r="175" spans="2:9" s="126" customFormat="1" ht="15.95" customHeight="1">
      <c r="B175" s="154">
        <v>44517</v>
      </c>
      <c r="C175" s="155">
        <v>24656</v>
      </c>
      <c r="D175" s="156" t="s">
        <v>2125</v>
      </c>
      <c r="E175" s="157"/>
      <c r="F175" s="157">
        <v>52177.35</v>
      </c>
      <c r="G175" s="157">
        <f t="shared" si="2"/>
        <v>20919034.869999893</v>
      </c>
      <c r="H175" s="158"/>
      <c r="I175" s="158"/>
    </row>
    <row r="176" spans="2:9" s="126" customFormat="1" ht="15.95" customHeight="1">
      <c r="B176" s="154">
        <v>44517</v>
      </c>
      <c r="C176" s="155">
        <v>24603</v>
      </c>
      <c r="D176" s="384" t="s">
        <v>2130</v>
      </c>
      <c r="E176" s="157"/>
      <c r="F176" s="157">
        <v>54000</v>
      </c>
      <c r="G176" s="157">
        <f t="shared" si="2"/>
        <v>20865034.869999893</v>
      </c>
      <c r="H176" s="158"/>
      <c r="I176" s="158"/>
    </row>
    <row r="177" spans="2:9" s="126" customFormat="1" ht="15.95" customHeight="1">
      <c r="B177" s="154">
        <v>44517</v>
      </c>
      <c r="C177" s="155">
        <v>24613</v>
      </c>
      <c r="D177" s="384" t="s">
        <v>1162</v>
      </c>
      <c r="E177" s="157"/>
      <c r="F177" s="157">
        <v>54000</v>
      </c>
      <c r="G177" s="157">
        <f t="shared" si="2"/>
        <v>20811034.869999893</v>
      </c>
      <c r="H177" s="158"/>
      <c r="I177" s="158"/>
    </row>
    <row r="178" spans="2:9" s="126" customFormat="1" ht="15.95" customHeight="1">
      <c r="B178" s="154">
        <v>44517</v>
      </c>
      <c r="C178" s="155">
        <v>24626</v>
      </c>
      <c r="D178" s="384" t="s">
        <v>2131</v>
      </c>
      <c r="E178" s="157"/>
      <c r="F178" s="157">
        <v>54000</v>
      </c>
      <c r="G178" s="157">
        <f t="shared" si="2"/>
        <v>20757034.869999893</v>
      </c>
      <c r="H178" s="158"/>
      <c r="I178" s="158"/>
    </row>
    <row r="179" spans="2:9" s="126" customFormat="1" ht="15.95" customHeight="1">
      <c r="B179" s="154">
        <v>44517</v>
      </c>
      <c r="C179" s="155">
        <v>24633</v>
      </c>
      <c r="D179" s="384" t="s">
        <v>1147</v>
      </c>
      <c r="E179" s="157"/>
      <c r="F179" s="157">
        <v>54000</v>
      </c>
      <c r="G179" s="157">
        <f t="shared" si="2"/>
        <v>20703034.869999893</v>
      </c>
      <c r="H179" s="158"/>
      <c r="I179" s="158"/>
    </row>
    <row r="180" spans="2:9" s="126" customFormat="1" ht="15.95" customHeight="1">
      <c r="B180" s="154">
        <v>44517</v>
      </c>
      <c r="C180" s="155">
        <v>24611</v>
      </c>
      <c r="D180" s="384" t="s">
        <v>2132</v>
      </c>
      <c r="E180" s="157"/>
      <c r="F180" s="157">
        <v>56500</v>
      </c>
      <c r="G180" s="157">
        <f t="shared" si="2"/>
        <v>20646534.869999893</v>
      </c>
      <c r="H180" s="158"/>
      <c r="I180" s="158"/>
    </row>
    <row r="181" spans="2:9" s="126" customFormat="1" ht="15.95" customHeight="1">
      <c r="B181" s="154">
        <v>44517</v>
      </c>
      <c r="C181" s="155">
        <v>24671</v>
      </c>
      <c r="D181" s="384" t="s">
        <v>2079</v>
      </c>
      <c r="E181" s="157"/>
      <c r="F181" s="157">
        <v>56500</v>
      </c>
      <c r="G181" s="157">
        <f t="shared" si="2"/>
        <v>20590034.869999893</v>
      </c>
      <c r="H181" s="158"/>
      <c r="I181" s="158"/>
    </row>
    <row r="182" spans="2:9" s="126" customFormat="1" ht="15.95" customHeight="1">
      <c r="B182" s="154">
        <v>44517</v>
      </c>
      <c r="C182" s="155">
        <v>24592</v>
      </c>
      <c r="D182" s="156" t="s">
        <v>2111</v>
      </c>
      <c r="E182" s="157"/>
      <c r="F182" s="157">
        <v>57585.98</v>
      </c>
      <c r="G182" s="157">
        <f t="shared" si="2"/>
        <v>20532448.889999893</v>
      </c>
      <c r="H182" s="158"/>
      <c r="I182" s="158"/>
    </row>
    <row r="183" spans="2:9" s="126" customFormat="1" ht="15.95" customHeight="1">
      <c r="B183" s="154">
        <v>44517</v>
      </c>
      <c r="C183" s="155">
        <v>24577</v>
      </c>
      <c r="D183" s="156" t="s">
        <v>2097</v>
      </c>
      <c r="E183" s="157"/>
      <c r="F183" s="157">
        <v>58971.7</v>
      </c>
      <c r="G183" s="157">
        <f t="shared" si="2"/>
        <v>20473477.189999893</v>
      </c>
      <c r="H183" s="158"/>
      <c r="I183" s="158"/>
    </row>
    <row r="184" spans="2:9" s="126" customFormat="1" ht="15.95" customHeight="1">
      <c r="B184" s="154">
        <v>44517</v>
      </c>
      <c r="C184" s="155">
        <v>24588</v>
      </c>
      <c r="D184" s="156" t="s">
        <v>2107</v>
      </c>
      <c r="E184" s="157"/>
      <c r="F184" s="157">
        <v>59358.68</v>
      </c>
      <c r="G184" s="157">
        <f t="shared" si="2"/>
        <v>20414118.509999894</v>
      </c>
      <c r="H184" s="158"/>
      <c r="I184" s="158"/>
    </row>
    <row r="185" spans="2:9" s="126" customFormat="1" ht="15.95" customHeight="1">
      <c r="B185" s="154">
        <v>44517</v>
      </c>
      <c r="C185" s="155">
        <v>24579</v>
      </c>
      <c r="D185" s="156" t="s">
        <v>2099</v>
      </c>
      <c r="E185" s="157"/>
      <c r="F185" s="157">
        <v>62133.19</v>
      </c>
      <c r="G185" s="157">
        <f t="shared" si="2"/>
        <v>20351985.319999892</v>
      </c>
      <c r="H185" s="158"/>
      <c r="I185" s="158"/>
    </row>
    <row r="186" spans="2:9" s="126" customFormat="1" ht="15.95" customHeight="1">
      <c r="B186" s="154">
        <v>44517</v>
      </c>
      <c r="C186" s="155">
        <v>24568</v>
      </c>
      <c r="D186" s="156" t="s">
        <v>2129</v>
      </c>
      <c r="E186" s="157"/>
      <c r="F186" s="157">
        <v>66867.179999999993</v>
      </c>
      <c r="G186" s="157">
        <f t="shared" si="2"/>
        <v>20285118.139999893</v>
      </c>
      <c r="H186" s="158"/>
      <c r="I186" s="158"/>
    </row>
    <row r="187" spans="2:9" s="126" customFormat="1" ht="15.95" customHeight="1">
      <c r="B187" s="154">
        <v>44517</v>
      </c>
      <c r="C187" s="155">
        <v>24444</v>
      </c>
      <c r="D187" s="384" t="s">
        <v>1163</v>
      </c>
      <c r="E187" s="157"/>
      <c r="F187" s="157">
        <v>67800</v>
      </c>
      <c r="G187" s="157">
        <f t="shared" si="2"/>
        <v>20217318.139999893</v>
      </c>
      <c r="H187" s="158"/>
      <c r="I187" s="158"/>
    </row>
    <row r="188" spans="2:9" s="126" customFormat="1" ht="15.95" customHeight="1">
      <c r="B188" s="154">
        <v>44517</v>
      </c>
      <c r="C188" s="155">
        <v>24622</v>
      </c>
      <c r="D188" s="384" t="s">
        <v>1151</v>
      </c>
      <c r="E188" s="157"/>
      <c r="F188" s="157">
        <v>67800</v>
      </c>
      <c r="G188" s="157">
        <f t="shared" si="2"/>
        <v>20149518.139999893</v>
      </c>
      <c r="H188" s="158"/>
      <c r="I188" s="158"/>
    </row>
    <row r="189" spans="2:9" s="126" customFormat="1" ht="15.95" customHeight="1">
      <c r="B189" s="154">
        <v>44517</v>
      </c>
      <c r="C189" s="155">
        <v>24624</v>
      </c>
      <c r="D189" s="384" t="s">
        <v>1160</v>
      </c>
      <c r="E189" s="157"/>
      <c r="F189" s="157">
        <v>67800</v>
      </c>
      <c r="G189" s="157">
        <f t="shared" si="2"/>
        <v>20081718.139999893</v>
      </c>
      <c r="H189" s="158"/>
      <c r="I189" s="158"/>
    </row>
    <row r="190" spans="2:9" s="126" customFormat="1" ht="15.95" customHeight="1">
      <c r="B190" s="154">
        <v>44517</v>
      </c>
      <c r="C190" s="155">
        <v>24625</v>
      </c>
      <c r="D190" s="384" t="s">
        <v>1164</v>
      </c>
      <c r="E190" s="157"/>
      <c r="F190" s="157">
        <v>67800</v>
      </c>
      <c r="G190" s="157">
        <f t="shared" si="2"/>
        <v>20013918.139999893</v>
      </c>
      <c r="H190" s="158"/>
      <c r="I190" s="158"/>
    </row>
    <row r="191" spans="2:9" s="126" customFormat="1" ht="15.95" customHeight="1">
      <c r="B191" s="154">
        <v>44517</v>
      </c>
      <c r="C191" s="155">
        <v>24583</v>
      </c>
      <c r="D191" s="156" t="s">
        <v>2103</v>
      </c>
      <c r="E191" s="157"/>
      <c r="F191" s="157">
        <v>70510.69</v>
      </c>
      <c r="G191" s="157">
        <f t="shared" si="2"/>
        <v>19943407.449999891</v>
      </c>
      <c r="H191" s="158"/>
      <c r="I191" s="158"/>
    </row>
    <row r="192" spans="2:9" s="126" customFormat="1" ht="15.95" customHeight="1">
      <c r="B192" s="154">
        <v>44517</v>
      </c>
      <c r="C192" s="155">
        <v>24562</v>
      </c>
      <c r="D192" s="156" t="s">
        <v>2084</v>
      </c>
      <c r="E192" s="157"/>
      <c r="F192" s="157">
        <v>71160.210000000006</v>
      </c>
      <c r="G192" s="157">
        <f t="shared" si="2"/>
        <v>19872247.23999989</v>
      </c>
      <c r="H192" s="158"/>
      <c r="I192" s="158"/>
    </row>
    <row r="193" spans="2:9" s="126" customFormat="1" ht="15.95" customHeight="1">
      <c r="B193" s="154">
        <v>44517</v>
      </c>
      <c r="C193" s="155">
        <v>24590</v>
      </c>
      <c r="D193" s="156" t="s">
        <v>2109</v>
      </c>
      <c r="E193" s="157"/>
      <c r="F193" s="157">
        <v>78478.429999999993</v>
      </c>
      <c r="G193" s="157">
        <f t="shared" si="2"/>
        <v>19793768.809999891</v>
      </c>
      <c r="H193" s="158"/>
      <c r="I193" s="158"/>
    </row>
    <row r="194" spans="2:9" s="126" customFormat="1" ht="15.95" customHeight="1">
      <c r="B194" s="154">
        <v>44517</v>
      </c>
      <c r="C194" s="155">
        <v>24576</v>
      </c>
      <c r="D194" s="156" t="s">
        <v>2096</v>
      </c>
      <c r="E194" s="157"/>
      <c r="F194" s="157">
        <v>82560.37</v>
      </c>
      <c r="G194" s="157">
        <f t="shared" si="2"/>
        <v>19711208.43999989</v>
      </c>
      <c r="H194" s="158"/>
      <c r="I194" s="158"/>
    </row>
    <row r="195" spans="2:9" s="126" customFormat="1" ht="15.95" customHeight="1">
      <c r="B195" s="154">
        <v>44517</v>
      </c>
      <c r="C195" s="155">
        <v>24574</v>
      </c>
      <c r="D195" s="156" t="s">
        <v>2094</v>
      </c>
      <c r="E195" s="157"/>
      <c r="F195" s="157">
        <v>83189.89</v>
      </c>
      <c r="G195" s="157">
        <f t="shared" si="2"/>
        <v>19628018.549999889</v>
      </c>
      <c r="H195" s="158"/>
      <c r="I195" s="158"/>
    </row>
    <row r="196" spans="2:9" s="126" customFormat="1" ht="15.95" customHeight="1">
      <c r="B196" s="154">
        <v>44517</v>
      </c>
      <c r="C196" s="155">
        <v>24563</v>
      </c>
      <c r="D196" s="156" t="s">
        <v>2085</v>
      </c>
      <c r="E196" s="157"/>
      <c r="F196" s="157">
        <v>88458.7</v>
      </c>
      <c r="G196" s="157">
        <f t="shared" si="2"/>
        <v>19539559.84999989</v>
      </c>
      <c r="H196" s="158"/>
      <c r="I196" s="158"/>
    </row>
    <row r="197" spans="2:9" s="126" customFormat="1" ht="15.95" customHeight="1">
      <c r="B197" s="154">
        <v>44517</v>
      </c>
      <c r="C197" s="155">
        <v>24531</v>
      </c>
      <c r="D197" s="384" t="s">
        <v>2060</v>
      </c>
      <c r="E197" s="157"/>
      <c r="F197" s="157">
        <v>94920</v>
      </c>
      <c r="G197" s="157">
        <f t="shared" si="2"/>
        <v>19444639.84999989</v>
      </c>
      <c r="H197" s="158"/>
      <c r="I197" s="158"/>
    </row>
    <row r="198" spans="2:9" s="126" customFormat="1" ht="15.95" customHeight="1">
      <c r="B198" s="154">
        <v>44517</v>
      </c>
      <c r="C198" s="155">
        <v>24569</v>
      </c>
      <c r="D198" s="156" t="s">
        <v>2090</v>
      </c>
      <c r="E198" s="157"/>
      <c r="F198" s="157">
        <v>95958.7</v>
      </c>
      <c r="G198" s="157">
        <f t="shared" si="2"/>
        <v>19348681.14999989</v>
      </c>
      <c r="H198" s="158"/>
      <c r="I198" s="158"/>
    </row>
    <row r="199" spans="2:9" s="126" customFormat="1" ht="15.95" customHeight="1">
      <c r="B199" s="154">
        <v>44517</v>
      </c>
      <c r="C199" s="155">
        <v>24594</v>
      </c>
      <c r="D199" s="156" t="s">
        <v>2113</v>
      </c>
      <c r="E199" s="157"/>
      <c r="F199" s="157">
        <v>103992.49</v>
      </c>
      <c r="G199" s="157">
        <f t="shared" si="2"/>
        <v>19244688.659999892</v>
      </c>
      <c r="H199" s="158"/>
      <c r="I199" s="158"/>
    </row>
    <row r="200" spans="2:9" s="126" customFormat="1" ht="15.95" customHeight="1">
      <c r="B200" s="154">
        <v>44517</v>
      </c>
      <c r="C200" s="155">
        <v>24567</v>
      </c>
      <c r="D200" s="156" t="s">
        <v>2089</v>
      </c>
      <c r="E200" s="157"/>
      <c r="F200" s="157">
        <v>105958.7</v>
      </c>
      <c r="G200" s="157">
        <f t="shared" si="2"/>
        <v>19138729.959999893</v>
      </c>
      <c r="H200" s="158"/>
      <c r="I200" s="158"/>
    </row>
    <row r="201" spans="2:9" s="126" customFormat="1" ht="15.95" customHeight="1">
      <c r="B201" s="154">
        <v>44517</v>
      </c>
      <c r="C201" s="155">
        <v>24570</v>
      </c>
      <c r="D201" s="156" t="s">
        <v>2091</v>
      </c>
      <c r="E201" s="157"/>
      <c r="F201" s="157">
        <v>106608.68</v>
      </c>
      <c r="G201" s="157">
        <f t="shared" si="2"/>
        <v>19032121.279999893</v>
      </c>
      <c r="H201" s="158"/>
      <c r="I201" s="158"/>
    </row>
    <row r="202" spans="2:9" s="126" customFormat="1" ht="15.95" customHeight="1">
      <c r="B202" s="154">
        <v>44517</v>
      </c>
      <c r="C202" s="155">
        <v>24634</v>
      </c>
      <c r="D202" s="156" t="s">
        <v>2117</v>
      </c>
      <c r="E202" s="157"/>
      <c r="F202" s="157">
        <v>108586.47</v>
      </c>
      <c r="G202" s="157">
        <f t="shared" si="2"/>
        <v>18923534.809999894</v>
      </c>
      <c r="H202" s="158"/>
      <c r="I202" s="158"/>
    </row>
    <row r="203" spans="2:9" s="126" customFormat="1" ht="15.95" customHeight="1">
      <c r="B203" s="154">
        <v>44517</v>
      </c>
      <c r="C203" s="155">
        <v>24559</v>
      </c>
      <c r="D203" s="156" t="s">
        <v>2081</v>
      </c>
      <c r="E203" s="157"/>
      <c r="F203" s="157">
        <v>111756.35</v>
      </c>
      <c r="G203" s="157">
        <f t="shared" si="2"/>
        <v>18811778.459999893</v>
      </c>
      <c r="H203" s="158"/>
      <c r="I203" s="158"/>
    </row>
    <row r="204" spans="2:9" s="126" customFormat="1" ht="15.95" customHeight="1">
      <c r="B204" s="154">
        <v>44517</v>
      </c>
      <c r="C204" s="155">
        <v>24596</v>
      </c>
      <c r="D204" s="384" t="s">
        <v>2051</v>
      </c>
      <c r="E204" s="157"/>
      <c r="F204" s="157">
        <v>114000</v>
      </c>
      <c r="G204" s="157">
        <f t="shared" si="2"/>
        <v>18697778.459999893</v>
      </c>
      <c r="H204" s="158"/>
      <c r="I204" s="158"/>
    </row>
    <row r="205" spans="2:9" s="126" customFormat="1" ht="15.95" customHeight="1">
      <c r="B205" s="154">
        <v>44517</v>
      </c>
      <c r="C205" s="155">
        <v>24593</v>
      </c>
      <c r="D205" s="156" t="s">
        <v>2112</v>
      </c>
      <c r="E205" s="157"/>
      <c r="F205" s="157">
        <v>118112.08</v>
      </c>
      <c r="G205" s="157">
        <f t="shared" si="2"/>
        <v>18579666.379999895</v>
      </c>
      <c r="H205" s="158"/>
      <c r="I205" s="158"/>
    </row>
    <row r="206" spans="2:9" s="126" customFormat="1" ht="15.95" customHeight="1">
      <c r="B206" s="154">
        <v>44517</v>
      </c>
      <c r="C206" s="155">
        <v>24641</v>
      </c>
      <c r="D206" s="156" t="s">
        <v>2121</v>
      </c>
      <c r="E206" s="157"/>
      <c r="F206" s="157">
        <v>119811.17</v>
      </c>
      <c r="G206" s="157">
        <f t="shared" si="2"/>
        <v>18459855.209999893</v>
      </c>
      <c r="H206" s="158"/>
      <c r="I206" s="158"/>
    </row>
    <row r="207" spans="2:9" s="126" customFormat="1" ht="15.95" customHeight="1">
      <c r="B207" s="154">
        <v>44517</v>
      </c>
      <c r="C207" s="155">
        <v>24532</v>
      </c>
      <c r="D207" s="156" t="s">
        <v>2080</v>
      </c>
      <c r="E207" s="157"/>
      <c r="F207" s="157">
        <v>179624.13</v>
      </c>
      <c r="G207" s="157">
        <f t="shared" si="2"/>
        <v>18280231.079999894</v>
      </c>
      <c r="H207" s="158"/>
      <c r="I207" s="158"/>
    </row>
    <row r="208" spans="2:9" s="126" customFormat="1" ht="15.95" customHeight="1">
      <c r="B208" s="154">
        <v>44517</v>
      </c>
      <c r="C208" s="155">
        <v>24616</v>
      </c>
      <c r="D208" s="384" t="s">
        <v>1152</v>
      </c>
      <c r="E208" s="157"/>
      <c r="F208" s="157">
        <v>180000</v>
      </c>
      <c r="G208" s="157">
        <f t="shared" si="2"/>
        <v>18100231.079999894</v>
      </c>
      <c r="H208" s="158"/>
      <c r="I208" s="158"/>
    </row>
    <row r="209" spans="2:9" s="126" customFormat="1" ht="15.95" customHeight="1">
      <c r="B209" s="154">
        <v>44517</v>
      </c>
      <c r="C209" s="155">
        <v>24578</v>
      </c>
      <c r="D209" s="156" t="s">
        <v>2098</v>
      </c>
      <c r="E209" s="157"/>
      <c r="F209" s="157">
        <v>187257.11</v>
      </c>
      <c r="G209" s="157">
        <f t="shared" si="2"/>
        <v>17912973.969999894</v>
      </c>
      <c r="H209" s="158"/>
      <c r="I209" s="158"/>
    </row>
    <row r="210" spans="2:9" s="126" customFormat="1" ht="15.95" customHeight="1">
      <c r="B210" s="154">
        <v>44517</v>
      </c>
      <c r="C210" s="155">
        <v>24591</v>
      </c>
      <c r="D210" s="156" t="s">
        <v>2110</v>
      </c>
      <c r="E210" s="157"/>
      <c r="F210" s="157">
        <v>190098.51</v>
      </c>
      <c r="G210" s="157">
        <f t="shared" ref="G210:G273" si="3">+G209+E210-F210</f>
        <v>17722875.459999893</v>
      </c>
      <c r="H210" s="158"/>
      <c r="I210" s="158"/>
    </row>
    <row r="211" spans="2:9" s="126" customFormat="1" ht="15.95" customHeight="1">
      <c r="B211" s="154">
        <v>44517</v>
      </c>
      <c r="C211" s="155">
        <v>24602</v>
      </c>
      <c r="D211" s="384" t="s">
        <v>1332</v>
      </c>
      <c r="E211" s="157"/>
      <c r="F211" s="157">
        <v>492825.61</v>
      </c>
      <c r="G211" s="157">
        <f t="shared" si="3"/>
        <v>17230049.849999893</v>
      </c>
      <c r="H211" s="158"/>
      <c r="I211" s="158"/>
    </row>
    <row r="212" spans="2:9" s="126" customFormat="1" ht="15.95" customHeight="1">
      <c r="B212" s="154">
        <v>44517</v>
      </c>
      <c r="C212" s="155">
        <v>24538</v>
      </c>
      <c r="D212" s="384" t="s">
        <v>1906</v>
      </c>
      <c r="E212" s="157"/>
      <c r="F212" s="157">
        <v>710001.6</v>
      </c>
      <c r="G212" s="157">
        <f t="shared" si="3"/>
        <v>16520048.249999894</v>
      </c>
      <c r="H212" s="158"/>
      <c r="I212" s="158"/>
    </row>
    <row r="213" spans="2:9" s="126" customFormat="1" ht="15.95" customHeight="1">
      <c r="B213" s="154">
        <v>44517</v>
      </c>
      <c r="C213" s="155">
        <v>24550</v>
      </c>
      <c r="D213" s="384" t="s">
        <v>1906</v>
      </c>
      <c r="E213" s="157"/>
      <c r="F213" s="157">
        <v>719978.4</v>
      </c>
      <c r="G213" s="157">
        <f t="shared" si="3"/>
        <v>15800069.849999893</v>
      </c>
      <c r="H213" s="158"/>
      <c r="I213" s="158"/>
    </row>
    <row r="214" spans="2:9" s="126" customFormat="1" ht="15.95" customHeight="1">
      <c r="B214" s="154">
        <v>44517</v>
      </c>
      <c r="C214" s="155">
        <v>24536</v>
      </c>
      <c r="D214" s="384" t="s">
        <v>2061</v>
      </c>
      <c r="E214" s="157"/>
      <c r="F214" s="157">
        <v>733987.5</v>
      </c>
      <c r="G214" s="157">
        <f t="shared" si="3"/>
        <v>15066082.349999893</v>
      </c>
      <c r="H214" s="158"/>
      <c r="I214" s="158"/>
    </row>
    <row r="215" spans="2:9" s="126" customFormat="1" ht="15.95" customHeight="1">
      <c r="B215" s="154">
        <v>44517</v>
      </c>
      <c r="C215" s="155">
        <v>24676</v>
      </c>
      <c r="D215" s="384" t="s">
        <v>1096</v>
      </c>
      <c r="E215" s="157"/>
      <c r="F215" s="157">
        <v>764012</v>
      </c>
      <c r="G215" s="157">
        <f t="shared" si="3"/>
        <v>14302070.349999893</v>
      </c>
      <c r="H215" s="158"/>
      <c r="I215" s="158"/>
    </row>
    <row r="216" spans="2:9" s="126" customFormat="1" ht="15.95" customHeight="1">
      <c r="B216" s="154">
        <v>44517</v>
      </c>
      <c r="C216" s="155">
        <v>24637</v>
      </c>
      <c r="D216" s="156" t="s">
        <v>1389</v>
      </c>
      <c r="E216" s="157"/>
      <c r="F216" s="157">
        <v>767295</v>
      </c>
      <c r="G216" s="157">
        <f t="shared" si="3"/>
        <v>13534775.349999893</v>
      </c>
      <c r="H216" s="158"/>
      <c r="I216" s="158"/>
    </row>
    <row r="217" spans="2:9" s="126" customFormat="1" ht="15.95" customHeight="1">
      <c r="B217" s="154">
        <v>44517</v>
      </c>
      <c r="C217" s="155">
        <v>24540</v>
      </c>
      <c r="D217" s="384" t="s">
        <v>1906</v>
      </c>
      <c r="E217" s="157"/>
      <c r="F217" s="157">
        <v>796107.6</v>
      </c>
      <c r="G217" s="157">
        <f t="shared" si="3"/>
        <v>12738667.749999894</v>
      </c>
      <c r="H217" s="158"/>
      <c r="I217" s="158"/>
    </row>
    <row r="218" spans="2:9" s="126" customFormat="1" ht="15.95" customHeight="1">
      <c r="B218" s="154">
        <v>44517</v>
      </c>
      <c r="C218" s="155">
        <v>24662</v>
      </c>
      <c r="D218" s="156" t="s">
        <v>1389</v>
      </c>
      <c r="E218" s="157"/>
      <c r="F218" s="157">
        <v>810500</v>
      </c>
      <c r="G218" s="157">
        <f t="shared" si="3"/>
        <v>11928167.749999894</v>
      </c>
      <c r="H218" s="158"/>
      <c r="I218" s="158"/>
    </row>
    <row r="219" spans="2:9" s="126" customFormat="1" ht="15.95" customHeight="1">
      <c r="B219" s="154">
        <v>44517</v>
      </c>
      <c r="C219" s="155">
        <v>24533</v>
      </c>
      <c r="D219" s="384" t="s">
        <v>1906</v>
      </c>
      <c r="E219" s="157"/>
      <c r="F219" s="157">
        <v>886579.19999999995</v>
      </c>
      <c r="G219" s="157">
        <f t="shared" si="3"/>
        <v>11041588.549999895</v>
      </c>
      <c r="H219" s="158"/>
      <c r="I219" s="158"/>
    </row>
    <row r="220" spans="2:9" s="126" customFormat="1" ht="15.95" customHeight="1">
      <c r="B220" s="154">
        <v>44517</v>
      </c>
      <c r="C220" s="155">
        <v>24867820742</v>
      </c>
      <c r="D220" s="156" t="s">
        <v>1389</v>
      </c>
      <c r="E220" s="157"/>
      <c r="F220" s="157">
        <v>200000</v>
      </c>
      <c r="G220" s="157">
        <f t="shared" si="3"/>
        <v>10841588.549999895</v>
      </c>
      <c r="H220" s="158"/>
      <c r="I220" s="158"/>
    </row>
    <row r="221" spans="2:9" s="126" customFormat="1" ht="15.95" customHeight="1">
      <c r="B221" s="154">
        <v>44517</v>
      </c>
      <c r="C221" s="155">
        <v>24865786760</v>
      </c>
      <c r="D221" s="156" t="s">
        <v>1389</v>
      </c>
      <c r="E221" s="157"/>
      <c r="F221" s="157">
        <v>2200000</v>
      </c>
      <c r="G221" s="157">
        <f t="shared" si="3"/>
        <v>8641588.5499998946</v>
      </c>
      <c r="H221" s="158"/>
      <c r="I221" s="158"/>
    </row>
    <row r="222" spans="2:9" s="126" customFormat="1" ht="15.95" customHeight="1">
      <c r="B222" s="154">
        <v>44518</v>
      </c>
      <c r="C222" s="155">
        <v>20516714</v>
      </c>
      <c r="D222" s="156" t="s">
        <v>1064</v>
      </c>
      <c r="E222" s="157">
        <v>1449895</v>
      </c>
      <c r="F222" s="157"/>
      <c r="G222" s="157">
        <f t="shared" si="3"/>
        <v>10091483.549999895</v>
      </c>
      <c r="H222" s="158"/>
      <c r="I222" s="158"/>
    </row>
    <row r="223" spans="2:9" s="126" customFormat="1" ht="15.95" customHeight="1">
      <c r="B223" s="154">
        <v>44518</v>
      </c>
      <c r="C223" s="155">
        <v>20516720</v>
      </c>
      <c r="D223" s="156" t="s">
        <v>1064</v>
      </c>
      <c r="E223" s="157">
        <v>10000000</v>
      </c>
      <c r="F223" s="157"/>
      <c r="G223" s="157">
        <f t="shared" si="3"/>
        <v>20091483.549999893</v>
      </c>
      <c r="H223" s="158"/>
      <c r="I223" s="158"/>
    </row>
    <row r="224" spans="2:9" s="126" customFormat="1" ht="15.95" customHeight="1">
      <c r="B224" s="154">
        <v>44518</v>
      </c>
      <c r="C224" s="155">
        <v>24598</v>
      </c>
      <c r="D224" s="384" t="s">
        <v>1856</v>
      </c>
      <c r="E224" s="157"/>
      <c r="F224" s="157">
        <v>4976.5</v>
      </c>
      <c r="G224" s="157">
        <f t="shared" si="3"/>
        <v>20086507.049999893</v>
      </c>
      <c r="H224" s="158"/>
      <c r="I224" s="158"/>
    </row>
    <row r="225" spans="2:9" s="126" customFormat="1" ht="15.95" customHeight="1">
      <c r="B225" s="154">
        <v>44518</v>
      </c>
      <c r="C225" s="155">
        <v>24604</v>
      </c>
      <c r="D225" s="384" t="s">
        <v>1857</v>
      </c>
      <c r="E225" s="157"/>
      <c r="F225" s="157">
        <v>18000</v>
      </c>
      <c r="G225" s="157">
        <f t="shared" si="3"/>
        <v>20068507.049999893</v>
      </c>
      <c r="H225" s="158"/>
      <c r="I225" s="158"/>
    </row>
    <row r="226" spans="2:9" s="126" customFormat="1" ht="15.95" customHeight="1">
      <c r="B226" s="154">
        <v>44518</v>
      </c>
      <c r="C226" s="155">
        <v>24617</v>
      </c>
      <c r="D226" s="384" t="s">
        <v>2133</v>
      </c>
      <c r="E226" s="157"/>
      <c r="F226" s="157">
        <v>22500</v>
      </c>
      <c r="G226" s="157">
        <f t="shared" si="3"/>
        <v>20046007.049999893</v>
      </c>
      <c r="H226" s="158"/>
      <c r="I226" s="158"/>
    </row>
    <row r="227" spans="2:9" s="126" customFormat="1" ht="15.95" customHeight="1">
      <c r="B227" s="154">
        <v>44518</v>
      </c>
      <c r="C227" s="155">
        <v>24648</v>
      </c>
      <c r="D227" s="384" t="s">
        <v>2136</v>
      </c>
      <c r="E227" s="157"/>
      <c r="F227" s="157">
        <v>22500</v>
      </c>
      <c r="G227" s="157">
        <f t="shared" si="3"/>
        <v>20023507.049999893</v>
      </c>
      <c r="H227" s="158"/>
      <c r="I227" s="158"/>
    </row>
    <row r="228" spans="2:9" s="126" customFormat="1" ht="15.95" customHeight="1">
      <c r="B228" s="154">
        <v>44518</v>
      </c>
      <c r="C228" s="155">
        <v>24683</v>
      </c>
      <c r="D228" s="384" t="s">
        <v>2137</v>
      </c>
      <c r="E228" s="157"/>
      <c r="F228" s="157">
        <v>22600</v>
      </c>
      <c r="G228" s="157">
        <f t="shared" si="3"/>
        <v>20000907.049999893</v>
      </c>
      <c r="H228" s="158"/>
      <c r="I228" s="158"/>
    </row>
    <row r="229" spans="2:9" s="126" customFormat="1" ht="15.95" customHeight="1">
      <c r="B229" s="154">
        <v>44518</v>
      </c>
      <c r="C229" s="155">
        <v>24640</v>
      </c>
      <c r="D229" s="156" t="s">
        <v>2120</v>
      </c>
      <c r="E229" s="157"/>
      <c r="F229" s="157">
        <v>23168.7</v>
      </c>
      <c r="G229" s="157">
        <f t="shared" si="3"/>
        <v>19977738.349999893</v>
      </c>
      <c r="H229" s="158"/>
      <c r="I229" s="158"/>
    </row>
    <row r="230" spans="2:9" s="126" customFormat="1" ht="15.95" customHeight="1">
      <c r="B230" s="154">
        <v>44518</v>
      </c>
      <c r="C230" s="155">
        <v>24482</v>
      </c>
      <c r="D230" s="384" t="s">
        <v>2079</v>
      </c>
      <c r="E230" s="157"/>
      <c r="F230" s="157">
        <v>28250</v>
      </c>
      <c r="G230" s="157">
        <f t="shared" si="3"/>
        <v>19949488.349999893</v>
      </c>
      <c r="H230" s="158"/>
      <c r="I230" s="158"/>
    </row>
    <row r="231" spans="2:9" s="126" customFormat="1" ht="15.95" customHeight="1">
      <c r="B231" s="154">
        <v>44518</v>
      </c>
      <c r="C231" s="155">
        <v>24638</v>
      </c>
      <c r="D231" s="156" t="s">
        <v>2118</v>
      </c>
      <c r="E231" s="157"/>
      <c r="F231" s="157">
        <v>51609.14</v>
      </c>
      <c r="G231" s="157">
        <f t="shared" si="3"/>
        <v>19897879.209999893</v>
      </c>
      <c r="H231" s="158"/>
      <c r="I231" s="158"/>
    </row>
    <row r="232" spans="2:9" s="126" customFormat="1" ht="15.95" customHeight="1">
      <c r="B232" s="154">
        <v>44518</v>
      </c>
      <c r="C232" s="155">
        <v>24645</v>
      </c>
      <c r="D232" s="156" t="s">
        <v>2124</v>
      </c>
      <c r="E232" s="157"/>
      <c r="F232" s="157">
        <v>59729.35</v>
      </c>
      <c r="G232" s="157">
        <f t="shared" si="3"/>
        <v>19838149.859999891</v>
      </c>
      <c r="H232" s="158"/>
      <c r="I232" s="158"/>
    </row>
    <row r="233" spans="2:9" s="126" customFormat="1" ht="15.95" customHeight="1">
      <c r="B233" s="154">
        <v>44518</v>
      </c>
      <c r="C233" s="155">
        <v>24546</v>
      </c>
      <c r="D233" s="156" t="s">
        <v>1117</v>
      </c>
      <c r="E233" s="157"/>
      <c r="F233" s="157">
        <v>100927.75</v>
      </c>
      <c r="G233" s="157">
        <f t="shared" si="3"/>
        <v>19737222.109999891</v>
      </c>
      <c r="H233" s="158"/>
      <c r="I233" s="158"/>
    </row>
    <row r="234" spans="2:9" s="126" customFormat="1" ht="15.95" customHeight="1">
      <c r="B234" s="154">
        <v>44518</v>
      </c>
      <c r="C234" s="155">
        <v>24628</v>
      </c>
      <c r="D234" s="384" t="s">
        <v>1324</v>
      </c>
      <c r="E234" s="157"/>
      <c r="F234" s="157">
        <v>113000</v>
      </c>
      <c r="G234" s="157">
        <f t="shared" si="3"/>
        <v>19624222.109999891</v>
      </c>
      <c r="H234" s="158"/>
      <c r="I234" s="158"/>
    </row>
    <row r="235" spans="2:9" s="126" customFormat="1" ht="15.95" customHeight="1">
      <c r="B235" s="154">
        <v>44518</v>
      </c>
      <c r="C235" s="155">
        <v>24639</v>
      </c>
      <c r="D235" s="156" t="s">
        <v>2119</v>
      </c>
      <c r="E235" s="157"/>
      <c r="F235" s="157">
        <v>373834.79</v>
      </c>
      <c r="G235" s="157">
        <f t="shared" si="3"/>
        <v>19250387.319999892</v>
      </c>
      <c r="H235" s="158"/>
      <c r="I235" s="158"/>
    </row>
    <row r="236" spans="2:9" s="126" customFormat="1" ht="15.95" customHeight="1">
      <c r="B236" s="154">
        <v>44518</v>
      </c>
      <c r="C236" s="155">
        <v>24680</v>
      </c>
      <c r="D236" s="156" t="s">
        <v>1389</v>
      </c>
      <c r="E236" s="157"/>
      <c r="F236" s="157">
        <v>3500000</v>
      </c>
      <c r="G236" s="157">
        <f t="shared" si="3"/>
        <v>15750387.319999892</v>
      </c>
      <c r="H236" s="158"/>
      <c r="I236" s="158"/>
    </row>
    <row r="237" spans="2:9" s="126" customFormat="1" ht="15.95" customHeight="1">
      <c r="B237" s="154">
        <v>44518</v>
      </c>
      <c r="C237" s="155">
        <v>24651</v>
      </c>
      <c r="D237" s="156" t="s">
        <v>1809</v>
      </c>
      <c r="E237" s="157"/>
      <c r="F237" s="157">
        <v>6500000</v>
      </c>
      <c r="G237" s="157">
        <f t="shared" si="3"/>
        <v>9250387.3199998923</v>
      </c>
      <c r="H237" s="158"/>
      <c r="I237" s="158"/>
    </row>
    <row r="238" spans="2:9" s="126" customFormat="1" ht="15.95" customHeight="1">
      <c r="B238" s="154">
        <v>44518</v>
      </c>
      <c r="C238" s="155">
        <v>24877521475</v>
      </c>
      <c r="D238" s="156" t="s">
        <v>1389</v>
      </c>
      <c r="E238" s="157"/>
      <c r="F238" s="157">
        <v>600000</v>
      </c>
      <c r="G238" s="157">
        <f t="shared" si="3"/>
        <v>8650387.3199998923</v>
      </c>
      <c r="H238" s="158"/>
      <c r="I238" s="158"/>
    </row>
    <row r="239" spans="2:9" s="126" customFormat="1" ht="15.95" customHeight="1">
      <c r="B239" s="154">
        <v>44519</v>
      </c>
      <c r="C239" s="155">
        <v>24891578523</v>
      </c>
      <c r="D239" s="156" t="s">
        <v>1064</v>
      </c>
      <c r="E239" s="157">
        <v>21300000</v>
      </c>
      <c r="F239" s="157"/>
      <c r="G239" s="157">
        <f t="shared" si="3"/>
        <v>29950387.319999892</v>
      </c>
      <c r="H239" s="158"/>
      <c r="I239" s="158"/>
    </row>
    <row r="240" spans="2:9" s="126" customFormat="1" ht="15.95" customHeight="1">
      <c r="B240" s="154">
        <v>44519</v>
      </c>
      <c r="C240" s="155">
        <v>24882910470</v>
      </c>
      <c r="D240" s="156" t="s">
        <v>1064</v>
      </c>
      <c r="E240" s="157">
        <v>80000</v>
      </c>
      <c r="F240" s="157"/>
      <c r="G240" s="157">
        <f t="shared" si="3"/>
        <v>30030387.319999892</v>
      </c>
      <c r="H240" s="158"/>
      <c r="I240" s="158"/>
    </row>
    <row r="241" spans="2:9" s="126" customFormat="1" ht="15.95" customHeight="1">
      <c r="B241" s="154">
        <v>44519</v>
      </c>
      <c r="C241" s="155">
        <v>20516740</v>
      </c>
      <c r="D241" s="156" t="s">
        <v>1064</v>
      </c>
      <c r="E241" s="157">
        <v>767295</v>
      </c>
      <c r="F241" s="157"/>
      <c r="G241" s="157">
        <f t="shared" si="3"/>
        <v>30797682.319999892</v>
      </c>
      <c r="H241" s="158"/>
      <c r="I241" s="158"/>
    </row>
    <row r="242" spans="2:9" s="126" customFormat="1" ht="15.95" customHeight="1">
      <c r="B242" s="154">
        <v>44519</v>
      </c>
      <c r="C242" s="155">
        <v>20516738</v>
      </c>
      <c r="D242" s="156" t="s">
        <v>1064</v>
      </c>
      <c r="E242" s="157">
        <v>1857580</v>
      </c>
      <c r="F242" s="157"/>
      <c r="G242" s="157">
        <f t="shared" si="3"/>
        <v>32655262.319999892</v>
      </c>
      <c r="H242" s="158"/>
      <c r="I242" s="158"/>
    </row>
    <row r="243" spans="2:9" s="126" customFormat="1" ht="15.95" customHeight="1">
      <c r="B243" s="154">
        <v>44519</v>
      </c>
      <c r="C243" s="155">
        <v>20516721</v>
      </c>
      <c r="D243" s="156" t="s">
        <v>1064</v>
      </c>
      <c r="E243" s="157">
        <v>10000000</v>
      </c>
      <c r="F243" s="157"/>
      <c r="G243" s="157">
        <f t="shared" si="3"/>
        <v>42655262.319999889</v>
      </c>
      <c r="H243" s="158"/>
      <c r="I243" s="158"/>
    </row>
    <row r="244" spans="2:9" s="126" customFormat="1" ht="15.95" customHeight="1">
      <c r="B244" s="154">
        <v>44519</v>
      </c>
      <c r="C244" s="155">
        <v>24481</v>
      </c>
      <c r="D244" s="384" t="s">
        <v>1146</v>
      </c>
      <c r="E244" s="157"/>
      <c r="F244" s="157">
        <v>18000</v>
      </c>
      <c r="G244" s="157">
        <f t="shared" si="3"/>
        <v>42637262.319999889</v>
      </c>
      <c r="H244" s="158"/>
      <c r="I244" s="158"/>
    </row>
    <row r="245" spans="2:9" s="126" customFormat="1" ht="15.95" customHeight="1">
      <c r="B245" s="154">
        <v>44519</v>
      </c>
      <c r="C245" s="155">
        <v>24654</v>
      </c>
      <c r="D245" s="384" t="s">
        <v>2054</v>
      </c>
      <c r="E245" s="157"/>
      <c r="F245" s="157">
        <v>40680</v>
      </c>
      <c r="G245" s="157">
        <f t="shared" si="3"/>
        <v>42596582.319999889</v>
      </c>
      <c r="H245" s="158"/>
      <c r="I245" s="158"/>
    </row>
    <row r="246" spans="2:9" s="126" customFormat="1" ht="15.95" customHeight="1">
      <c r="B246" s="154">
        <v>44519</v>
      </c>
      <c r="C246" s="155">
        <v>24560</v>
      </c>
      <c r="D246" s="156" t="s">
        <v>2082</v>
      </c>
      <c r="E246" s="157"/>
      <c r="F246" s="157">
        <v>52177.35</v>
      </c>
      <c r="G246" s="157">
        <f t="shared" si="3"/>
        <v>42544404.969999887</v>
      </c>
      <c r="H246" s="158"/>
      <c r="I246" s="158"/>
    </row>
    <row r="247" spans="2:9" s="126" customFormat="1" ht="15.95" customHeight="1">
      <c r="B247" s="154">
        <v>44519</v>
      </c>
      <c r="C247" s="155">
        <v>24643</v>
      </c>
      <c r="D247" s="156" t="s">
        <v>2122</v>
      </c>
      <c r="E247" s="157"/>
      <c r="F247" s="157">
        <v>106792.03</v>
      </c>
      <c r="G247" s="157">
        <f t="shared" si="3"/>
        <v>42437612.939999886</v>
      </c>
      <c r="H247" s="158"/>
      <c r="I247" s="158"/>
    </row>
    <row r="248" spans="2:9" s="126" customFormat="1" ht="15.95" customHeight="1">
      <c r="B248" s="154">
        <v>44519</v>
      </c>
      <c r="C248" s="155">
        <v>24663</v>
      </c>
      <c r="D248" s="384" t="s">
        <v>2136</v>
      </c>
      <c r="E248" s="157"/>
      <c r="F248" s="157">
        <v>112500</v>
      </c>
      <c r="G248" s="157">
        <f t="shared" si="3"/>
        <v>42325112.939999886</v>
      </c>
      <c r="H248" s="158"/>
      <c r="I248" s="158"/>
    </row>
    <row r="249" spans="2:9" s="126" customFormat="1" ht="15.95" customHeight="1">
      <c r="B249" s="154">
        <v>44519</v>
      </c>
      <c r="C249" s="155">
        <v>24530</v>
      </c>
      <c r="D249" s="384" t="s">
        <v>1347</v>
      </c>
      <c r="E249" s="157"/>
      <c r="F249" s="157">
        <v>125339.6</v>
      </c>
      <c r="G249" s="157">
        <f t="shared" si="3"/>
        <v>42199773.339999884</v>
      </c>
      <c r="H249" s="158"/>
      <c r="I249" s="158"/>
    </row>
    <row r="250" spans="2:9" s="126" customFormat="1" ht="15.95" customHeight="1">
      <c r="B250" s="154">
        <v>44519</v>
      </c>
      <c r="C250" s="155">
        <v>24652</v>
      </c>
      <c r="D250" s="384" t="s">
        <v>1122</v>
      </c>
      <c r="E250" s="157"/>
      <c r="F250" s="157">
        <v>557243.46</v>
      </c>
      <c r="G250" s="157">
        <f t="shared" si="3"/>
        <v>41642529.879999883</v>
      </c>
      <c r="H250" s="158"/>
      <c r="I250" s="158"/>
    </row>
    <row r="251" spans="2:9" s="126" customFormat="1" ht="15.95" customHeight="1">
      <c r="B251" s="154">
        <v>44519</v>
      </c>
      <c r="C251" s="155">
        <v>24535</v>
      </c>
      <c r="D251" s="384" t="s">
        <v>2049</v>
      </c>
      <c r="E251" s="157"/>
      <c r="F251" s="157">
        <v>840625.28</v>
      </c>
      <c r="G251" s="157">
        <f t="shared" si="3"/>
        <v>40801904.599999882</v>
      </c>
      <c r="H251" s="158"/>
      <c r="I251" s="158"/>
    </row>
    <row r="252" spans="2:9" s="126" customFormat="1" ht="15.95" customHeight="1">
      <c r="B252" s="154">
        <v>44519</v>
      </c>
      <c r="C252" s="155">
        <v>24548</v>
      </c>
      <c r="D252" s="384" t="s">
        <v>2050</v>
      </c>
      <c r="E252" s="157"/>
      <c r="F252" s="157">
        <v>894960</v>
      </c>
      <c r="G252" s="157">
        <f t="shared" si="3"/>
        <v>39906944.599999882</v>
      </c>
      <c r="H252" s="158"/>
      <c r="I252" s="158"/>
    </row>
    <row r="253" spans="2:9" s="126" customFormat="1" ht="15.95" customHeight="1">
      <c r="B253" s="154">
        <v>44519</v>
      </c>
      <c r="C253" s="155">
        <v>24655</v>
      </c>
      <c r="D253" s="384" t="s">
        <v>1842</v>
      </c>
      <c r="E253" s="157"/>
      <c r="F253" s="157">
        <v>1265042.8700000001</v>
      </c>
      <c r="G253" s="157">
        <f t="shared" si="3"/>
        <v>38641901.729999885</v>
      </c>
      <c r="H253" s="158"/>
      <c r="I253" s="158"/>
    </row>
    <row r="254" spans="2:9" s="126" customFormat="1" ht="15.95" customHeight="1">
      <c r="B254" s="154">
        <v>44519</v>
      </c>
      <c r="C254" s="155">
        <v>24664</v>
      </c>
      <c r="D254" s="384" t="s">
        <v>1103</v>
      </c>
      <c r="E254" s="157"/>
      <c r="F254" s="157">
        <v>1596000</v>
      </c>
      <c r="G254" s="157">
        <f t="shared" si="3"/>
        <v>37045901.729999885</v>
      </c>
      <c r="H254" s="158"/>
      <c r="I254" s="158"/>
    </row>
    <row r="255" spans="2:9" s="126" customFormat="1" ht="15.95" customHeight="1">
      <c r="B255" s="154">
        <v>44519</v>
      </c>
      <c r="C255" s="155">
        <v>24529</v>
      </c>
      <c r="D255" s="384" t="s">
        <v>1347</v>
      </c>
      <c r="E255" s="157"/>
      <c r="F255" s="157">
        <v>1711129.13</v>
      </c>
      <c r="G255" s="157">
        <f t="shared" si="3"/>
        <v>35334772.599999882</v>
      </c>
      <c r="H255" s="158"/>
      <c r="I255" s="158"/>
    </row>
    <row r="256" spans="2:9" s="126" customFormat="1" ht="15.95" customHeight="1">
      <c r="B256" s="154">
        <v>44519</v>
      </c>
      <c r="C256" s="155">
        <v>24885156501</v>
      </c>
      <c r="D256" s="156" t="s">
        <v>1389</v>
      </c>
      <c r="E256" s="157"/>
      <c r="F256" s="157">
        <v>1200000</v>
      </c>
      <c r="G256" s="157">
        <f t="shared" si="3"/>
        <v>34134772.599999882</v>
      </c>
      <c r="H256" s="158"/>
      <c r="I256" s="158"/>
    </row>
    <row r="257" spans="2:9" s="126" customFormat="1" ht="15.95" customHeight="1">
      <c r="B257" s="154">
        <v>44519</v>
      </c>
      <c r="C257" s="155">
        <v>24883998712</v>
      </c>
      <c r="D257" s="156" t="s">
        <v>1389</v>
      </c>
      <c r="E257" s="157"/>
      <c r="F257" s="157">
        <v>4100000</v>
      </c>
      <c r="G257" s="157">
        <f t="shared" si="3"/>
        <v>30034772.599999882</v>
      </c>
      <c r="H257" s="158"/>
      <c r="I257" s="158"/>
    </row>
    <row r="258" spans="2:9" s="126" customFormat="1" ht="15.95" customHeight="1">
      <c r="B258" s="154">
        <v>44522</v>
      </c>
      <c r="C258" s="155">
        <v>24906066268</v>
      </c>
      <c r="D258" s="156" t="s">
        <v>1064</v>
      </c>
      <c r="E258" s="157">
        <v>1500000</v>
      </c>
      <c r="F258" s="157"/>
      <c r="G258" s="157">
        <f t="shared" si="3"/>
        <v>31534772.599999882</v>
      </c>
      <c r="H258" s="158"/>
      <c r="I258" s="158"/>
    </row>
    <row r="259" spans="2:9" s="126" customFormat="1" ht="15.95" customHeight="1">
      <c r="B259" s="154">
        <v>44522</v>
      </c>
      <c r="C259" s="155">
        <v>20516742</v>
      </c>
      <c r="D259" s="156" t="s">
        <v>1064</v>
      </c>
      <c r="E259" s="157">
        <v>5000000</v>
      </c>
      <c r="F259" s="157"/>
      <c r="G259" s="157">
        <f t="shared" si="3"/>
        <v>36534772.599999882</v>
      </c>
      <c r="H259" s="158"/>
      <c r="I259" s="158"/>
    </row>
    <row r="260" spans="2:9" s="126" customFormat="1" ht="15.95" customHeight="1">
      <c r="B260" s="154">
        <v>44522</v>
      </c>
      <c r="C260" s="155">
        <v>24555</v>
      </c>
      <c r="D260" s="156" t="s">
        <v>1389</v>
      </c>
      <c r="E260" s="157"/>
      <c r="F260" s="157">
        <v>300000</v>
      </c>
      <c r="G260" s="157">
        <f t="shared" si="3"/>
        <v>36234772.599999882</v>
      </c>
      <c r="H260" s="158"/>
      <c r="I260" s="158"/>
    </row>
    <row r="261" spans="2:9" s="126" customFormat="1" ht="15.95" customHeight="1">
      <c r="B261" s="154">
        <v>44522</v>
      </c>
      <c r="C261" s="155">
        <v>24518</v>
      </c>
      <c r="D261" s="384" t="s">
        <v>1232</v>
      </c>
      <c r="E261" s="157"/>
      <c r="F261" s="157">
        <v>4989730</v>
      </c>
      <c r="G261" s="157">
        <f t="shared" si="3"/>
        <v>31245042.599999882</v>
      </c>
      <c r="H261" s="158"/>
      <c r="I261" s="158"/>
    </row>
    <row r="262" spans="2:9" s="126" customFormat="1" ht="15.95" customHeight="1">
      <c r="B262" s="154">
        <v>44522</v>
      </c>
      <c r="C262" s="155">
        <v>24551</v>
      </c>
      <c r="D262" s="156" t="s">
        <v>1389</v>
      </c>
      <c r="E262" s="157"/>
      <c r="F262" s="157">
        <v>5000000</v>
      </c>
      <c r="G262" s="157">
        <f t="shared" si="3"/>
        <v>26245042.599999882</v>
      </c>
      <c r="H262" s="158"/>
      <c r="I262" s="158"/>
    </row>
    <row r="263" spans="2:9" s="126" customFormat="1" ht="15.95" customHeight="1">
      <c r="B263" s="154">
        <v>44522</v>
      </c>
      <c r="C263" s="155">
        <v>24552</v>
      </c>
      <c r="D263" s="156" t="s">
        <v>1389</v>
      </c>
      <c r="E263" s="157"/>
      <c r="F263" s="157">
        <v>5000000</v>
      </c>
      <c r="G263" s="157">
        <f t="shared" si="3"/>
        <v>21245042.599999882</v>
      </c>
      <c r="H263" s="158"/>
      <c r="I263" s="158"/>
    </row>
    <row r="264" spans="2:9" s="126" customFormat="1" ht="15.95" customHeight="1">
      <c r="B264" s="154">
        <v>44522</v>
      </c>
      <c r="C264" s="155">
        <v>24553</v>
      </c>
      <c r="D264" s="156" t="s">
        <v>1389</v>
      </c>
      <c r="E264" s="157"/>
      <c r="F264" s="157">
        <v>5000000</v>
      </c>
      <c r="G264" s="157">
        <f t="shared" si="3"/>
        <v>16245042.599999882</v>
      </c>
      <c r="H264" s="158"/>
      <c r="I264" s="158"/>
    </row>
    <row r="265" spans="2:9" s="126" customFormat="1" ht="15.95" customHeight="1">
      <c r="B265" s="154">
        <v>44522</v>
      </c>
      <c r="C265" s="155">
        <v>24554</v>
      </c>
      <c r="D265" s="156" t="s">
        <v>1389</v>
      </c>
      <c r="E265" s="157"/>
      <c r="F265" s="157">
        <v>5000000</v>
      </c>
      <c r="G265" s="157">
        <f t="shared" si="3"/>
        <v>11245042.599999882</v>
      </c>
      <c r="H265" s="158"/>
      <c r="I265" s="158"/>
    </row>
    <row r="266" spans="2:9" s="126" customFormat="1" ht="15.95" customHeight="1">
      <c r="B266" s="154">
        <v>44522</v>
      </c>
      <c r="C266" s="155">
        <v>24893238309</v>
      </c>
      <c r="D266" s="156" t="s">
        <v>1389</v>
      </c>
      <c r="E266" s="157"/>
      <c r="F266" s="157">
        <v>2350000</v>
      </c>
      <c r="G266" s="157">
        <f t="shared" si="3"/>
        <v>8895042.5999998823</v>
      </c>
      <c r="H266" s="158"/>
      <c r="I266" s="158"/>
    </row>
    <row r="267" spans="2:9" s="126" customFormat="1" ht="15.95" customHeight="1">
      <c r="B267" s="154">
        <v>44523</v>
      </c>
      <c r="C267" s="155">
        <v>20516741</v>
      </c>
      <c r="D267" s="156" t="s">
        <v>1064</v>
      </c>
      <c r="E267" s="157">
        <v>3500000</v>
      </c>
      <c r="F267" s="157"/>
      <c r="G267" s="157">
        <f t="shared" si="3"/>
        <v>12395042.599999882</v>
      </c>
      <c r="H267" s="158"/>
      <c r="I267" s="158"/>
    </row>
    <row r="268" spans="2:9" s="126" customFormat="1" ht="15.95" customHeight="1">
      <c r="B268" s="154">
        <v>44523</v>
      </c>
      <c r="C268" s="155">
        <v>471816707</v>
      </c>
      <c r="D268" s="156" t="s">
        <v>1064</v>
      </c>
      <c r="E268" s="157">
        <v>589735</v>
      </c>
      <c r="F268" s="157"/>
      <c r="G268" s="157">
        <f t="shared" si="3"/>
        <v>12984777.599999882</v>
      </c>
      <c r="H268" s="158"/>
      <c r="I268" s="158"/>
    </row>
    <row r="269" spans="2:9" s="126" customFormat="1" ht="15.95" customHeight="1">
      <c r="B269" s="154">
        <v>44523</v>
      </c>
      <c r="C269" s="155">
        <v>471816709</v>
      </c>
      <c r="D269" s="156" t="s">
        <v>1064</v>
      </c>
      <c r="E269" s="157">
        <v>314490</v>
      </c>
      <c r="F269" s="157"/>
      <c r="G269" s="157">
        <f t="shared" si="3"/>
        <v>13299267.599999882</v>
      </c>
      <c r="H269" s="158"/>
      <c r="I269" s="158"/>
    </row>
    <row r="270" spans="2:9" s="126" customFormat="1" ht="15.95" customHeight="1">
      <c r="B270" s="154">
        <v>44523</v>
      </c>
      <c r="C270" s="155">
        <v>471816710</v>
      </c>
      <c r="D270" s="156" t="s">
        <v>1064</v>
      </c>
      <c r="E270" s="157">
        <v>4729</v>
      </c>
      <c r="F270" s="157"/>
      <c r="G270" s="157">
        <f t="shared" si="3"/>
        <v>13303996.599999882</v>
      </c>
      <c r="H270" s="158"/>
      <c r="I270" s="158"/>
    </row>
    <row r="271" spans="2:9" s="126" customFormat="1" ht="15.95" customHeight="1">
      <c r="B271" s="154">
        <v>44523</v>
      </c>
      <c r="C271" s="155">
        <v>471816711</v>
      </c>
      <c r="D271" s="156" t="s">
        <v>1064</v>
      </c>
      <c r="E271" s="157">
        <v>15800</v>
      </c>
      <c r="F271" s="157"/>
      <c r="G271" s="157">
        <f t="shared" si="3"/>
        <v>13319796.599999882</v>
      </c>
      <c r="H271" s="158"/>
      <c r="I271" s="158"/>
    </row>
    <row r="272" spans="2:9" s="126" customFormat="1" ht="15.95" customHeight="1">
      <c r="B272" s="154">
        <v>44523</v>
      </c>
      <c r="C272" s="155">
        <v>24665</v>
      </c>
      <c r="D272" s="384" t="s">
        <v>1114</v>
      </c>
      <c r="E272" s="157"/>
      <c r="F272" s="157">
        <v>37968</v>
      </c>
      <c r="G272" s="157">
        <f t="shared" si="3"/>
        <v>13281828.599999882</v>
      </c>
      <c r="H272" s="158"/>
      <c r="I272" s="158"/>
    </row>
    <row r="273" spans="2:9" s="126" customFormat="1" ht="15.95" customHeight="1">
      <c r="B273" s="154">
        <v>44523</v>
      </c>
      <c r="C273" s="155">
        <v>24675</v>
      </c>
      <c r="D273" s="384" t="s">
        <v>1842</v>
      </c>
      <c r="E273" s="157"/>
      <c r="F273" s="157">
        <v>221416</v>
      </c>
      <c r="G273" s="157">
        <f t="shared" si="3"/>
        <v>13060412.599999882</v>
      </c>
      <c r="H273" s="158"/>
      <c r="I273" s="158"/>
    </row>
    <row r="274" spans="2:9" s="126" customFormat="1" ht="15.95" customHeight="1">
      <c r="B274" s="154">
        <v>44523</v>
      </c>
      <c r="C274" s="155">
        <v>24678</v>
      </c>
      <c r="D274" s="384" t="s">
        <v>1096</v>
      </c>
      <c r="E274" s="157"/>
      <c r="F274" s="157">
        <v>275469.55</v>
      </c>
      <c r="G274" s="157">
        <f t="shared" ref="G274:G323" si="4">+G273+E274-F274</f>
        <v>12784943.049999882</v>
      </c>
      <c r="H274" s="158"/>
      <c r="I274" s="158"/>
    </row>
    <row r="275" spans="2:9" s="126" customFormat="1" ht="15.95" customHeight="1">
      <c r="B275" s="154">
        <v>44523</v>
      </c>
      <c r="C275" s="155">
        <v>24597</v>
      </c>
      <c r="D275" s="384" t="s">
        <v>1096</v>
      </c>
      <c r="E275" s="157"/>
      <c r="F275" s="157">
        <v>764012</v>
      </c>
      <c r="G275" s="157">
        <f t="shared" si="4"/>
        <v>12020931.049999882</v>
      </c>
      <c r="H275" s="158"/>
      <c r="I275" s="158"/>
    </row>
    <row r="276" spans="2:9" s="126" customFormat="1" ht="15.95" customHeight="1">
      <c r="B276" s="154">
        <v>44523</v>
      </c>
      <c r="C276" s="155">
        <v>24684</v>
      </c>
      <c r="D276" s="156" t="s">
        <v>1389</v>
      </c>
      <c r="E276" s="157"/>
      <c r="F276" s="157">
        <v>904225</v>
      </c>
      <c r="G276" s="157">
        <f t="shared" si="4"/>
        <v>11116706.049999882</v>
      </c>
      <c r="H276" s="158"/>
      <c r="I276" s="158"/>
    </row>
    <row r="277" spans="2:9" s="126" customFormat="1" ht="15.95" customHeight="1">
      <c r="B277" s="154">
        <v>44523</v>
      </c>
      <c r="C277" s="155">
        <v>24677</v>
      </c>
      <c r="D277" s="384" t="s">
        <v>1184</v>
      </c>
      <c r="E277" s="157"/>
      <c r="F277" s="157">
        <v>983886.83</v>
      </c>
      <c r="G277" s="157">
        <f t="shared" si="4"/>
        <v>10132819.219999881</v>
      </c>
      <c r="H277" s="158"/>
      <c r="I277" s="158"/>
    </row>
    <row r="278" spans="2:9" s="126" customFormat="1" ht="15.95" customHeight="1">
      <c r="B278" s="154">
        <v>44523</v>
      </c>
      <c r="C278" s="155">
        <v>24917814752</v>
      </c>
      <c r="D278" s="156" t="s">
        <v>1389</v>
      </c>
      <c r="E278" s="157"/>
      <c r="F278" s="157">
        <v>1400000</v>
      </c>
      <c r="G278" s="157">
        <f t="shared" si="4"/>
        <v>8732819.2199998815</v>
      </c>
      <c r="H278" s="158"/>
      <c r="I278" s="158"/>
    </row>
    <row r="279" spans="2:9" s="126" customFormat="1" ht="15.95" customHeight="1">
      <c r="B279" s="154">
        <v>44524</v>
      </c>
      <c r="C279" s="155">
        <v>468007863</v>
      </c>
      <c r="D279" s="156" t="s">
        <v>1064</v>
      </c>
      <c r="E279" s="157">
        <v>5000</v>
      </c>
      <c r="F279" s="157"/>
      <c r="G279" s="157">
        <f t="shared" si="4"/>
        <v>8737819.2199998815</v>
      </c>
      <c r="H279" s="158"/>
      <c r="I279" s="158"/>
    </row>
    <row r="280" spans="2:9" s="126" customFormat="1" ht="15.95" customHeight="1">
      <c r="B280" s="154">
        <v>44524</v>
      </c>
      <c r="C280" s="155">
        <v>468007864</v>
      </c>
      <c r="D280" s="156" t="s">
        <v>1064</v>
      </c>
      <c r="E280" s="157">
        <v>13270</v>
      </c>
      <c r="F280" s="157"/>
      <c r="G280" s="157">
        <f t="shared" si="4"/>
        <v>8751089.2199998815</v>
      </c>
      <c r="H280" s="158"/>
      <c r="I280" s="158"/>
    </row>
    <row r="281" spans="2:9" s="126" customFormat="1" ht="15.95" customHeight="1">
      <c r="B281" s="154">
        <v>44524</v>
      </c>
      <c r="C281" s="155">
        <v>468007862</v>
      </c>
      <c r="D281" s="156" t="s">
        <v>1064</v>
      </c>
      <c r="E281" s="157">
        <v>22260</v>
      </c>
      <c r="F281" s="157"/>
      <c r="G281" s="157">
        <f t="shared" si="4"/>
        <v>8773349.2199998815</v>
      </c>
      <c r="H281" s="158"/>
      <c r="I281" s="158"/>
    </row>
    <row r="282" spans="2:9" s="126" customFormat="1" ht="15.95" customHeight="1">
      <c r="B282" s="154">
        <v>44524</v>
      </c>
      <c r="C282" s="155">
        <v>468007861</v>
      </c>
      <c r="D282" s="156" t="s">
        <v>1064</v>
      </c>
      <c r="E282" s="157">
        <v>40550</v>
      </c>
      <c r="F282" s="157"/>
      <c r="G282" s="157">
        <f t="shared" si="4"/>
        <v>8813899.2199998815</v>
      </c>
      <c r="H282" s="158"/>
      <c r="I282" s="158"/>
    </row>
    <row r="283" spans="2:9" s="126" customFormat="1" ht="15.95" customHeight="1">
      <c r="B283" s="154">
        <v>44524</v>
      </c>
      <c r="C283" s="155">
        <v>468007860</v>
      </c>
      <c r="D283" s="156" t="s">
        <v>1064</v>
      </c>
      <c r="E283" s="157">
        <v>45760</v>
      </c>
      <c r="F283" s="157"/>
      <c r="G283" s="157">
        <f t="shared" si="4"/>
        <v>8859659.2199998815</v>
      </c>
      <c r="H283" s="158"/>
      <c r="I283" s="158"/>
    </row>
    <row r="284" spans="2:9" s="126" customFormat="1" ht="15.95" customHeight="1">
      <c r="B284" s="154">
        <v>44524</v>
      </c>
      <c r="C284" s="155">
        <v>468007859</v>
      </c>
      <c r="D284" s="156" t="s">
        <v>1064</v>
      </c>
      <c r="E284" s="157">
        <v>88450</v>
      </c>
      <c r="F284" s="157"/>
      <c r="G284" s="157">
        <f t="shared" si="4"/>
        <v>8948109.2199998815</v>
      </c>
      <c r="H284" s="158"/>
      <c r="I284" s="158"/>
    </row>
    <row r="285" spans="2:9" s="126" customFormat="1" ht="15.95" customHeight="1">
      <c r="B285" s="154">
        <v>44524</v>
      </c>
      <c r="C285" s="155">
        <v>468007858</v>
      </c>
      <c r="D285" s="156" t="s">
        <v>1064</v>
      </c>
      <c r="E285" s="157">
        <v>242970</v>
      </c>
      <c r="F285" s="157"/>
      <c r="G285" s="157">
        <f t="shared" si="4"/>
        <v>9191079.2199998815</v>
      </c>
      <c r="H285" s="158"/>
      <c r="I285" s="158"/>
    </row>
    <row r="286" spans="2:9" s="126" customFormat="1" ht="15.95" customHeight="1">
      <c r="B286" s="154">
        <v>44524</v>
      </c>
      <c r="C286" s="155">
        <v>24927571209</v>
      </c>
      <c r="D286" s="156" t="s">
        <v>1064</v>
      </c>
      <c r="E286" s="157">
        <v>200000</v>
      </c>
      <c r="F286" s="157"/>
      <c r="G286" s="157">
        <f t="shared" si="4"/>
        <v>9391079.2199998815</v>
      </c>
      <c r="H286" s="158"/>
      <c r="I286" s="158"/>
    </row>
    <row r="287" spans="2:9" s="126" customFormat="1" ht="15.95" customHeight="1">
      <c r="B287" s="154">
        <v>44524</v>
      </c>
      <c r="C287" s="155">
        <v>24927556156</v>
      </c>
      <c r="D287" s="156" t="s">
        <v>1064</v>
      </c>
      <c r="E287" s="157">
        <v>26000</v>
      </c>
      <c r="F287" s="157"/>
      <c r="G287" s="157">
        <f t="shared" si="4"/>
        <v>9417079.2199998815</v>
      </c>
      <c r="H287" s="158"/>
      <c r="I287" s="158"/>
    </row>
    <row r="288" spans="2:9" s="126" customFormat="1" ht="15.95" customHeight="1">
      <c r="B288" s="154">
        <v>44524</v>
      </c>
      <c r="C288" s="155">
        <v>20516722</v>
      </c>
      <c r="D288" s="156" t="s">
        <v>1064</v>
      </c>
      <c r="E288" s="157">
        <v>10000000</v>
      </c>
      <c r="F288" s="157"/>
      <c r="G288" s="157">
        <f t="shared" si="4"/>
        <v>19417079.21999988</v>
      </c>
      <c r="H288" s="158"/>
      <c r="I288" s="158"/>
    </row>
    <row r="289" spans="2:9" s="126" customFormat="1" ht="15.95" customHeight="1">
      <c r="B289" s="154">
        <v>44524</v>
      </c>
      <c r="C289" s="155">
        <v>24621</v>
      </c>
      <c r="D289" s="384" t="s">
        <v>1855</v>
      </c>
      <c r="E289" s="157"/>
      <c r="F289" s="157">
        <v>22600</v>
      </c>
      <c r="G289" s="157">
        <f t="shared" si="4"/>
        <v>19394479.21999988</v>
      </c>
      <c r="H289" s="158"/>
      <c r="I289" s="158"/>
    </row>
    <row r="290" spans="2:9" s="126" customFormat="1" ht="15.95" customHeight="1">
      <c r="B290" s="154">
        <v>44524</v>
      </c>
      <c r="C290" s="155">
        <v>24674</v>
      </c>
      <c r="D290" s="384" t="s">
        <v>2134</v>
      </c>
      <c r="E290" s="157"/>
      <c r="F290" s="157">
        <v>22600</v>
      </c>
      <c r="G290" s="157">
        <f t="shared" si="4"/>
        <v>19371879.21999988</v>
      </c>
      <c r="H290" s="158"/>
      <c r="I290" s="158"/>
    </row>
    <row r="291" spans="2:9" s="126" customFormat="1" ht="15.95" customHeight="1">
      <c r="B291" s="154">
        <v>44524</v>
      </c>
      <c r="C291" s="155">
        <v>24608</v>
      </c>
      <c r="D291" s="384" t="s">
        <v>2131</v>
      </c>
      <c r="E291" s="157"/>
      <c r="F291" s="157">
        <v>27000</v>
      </c>
      <c r="G291" s="157">
        <f t="shared" si="4"/>
        <v>19344879.21999988</v>
      </c>
      <c r="H291" s="158"/>
      <c r="I291" s="158"/>
    </row>
    <row r="292" spans="2:9" s="126" customFormat="1" ht="15.95" customHeight="1">
      <c r="B292" s="154">
        <v>44524</v>
      </c>
      <c r="C292" s="155">
        <v>24620</v>
      </c>
      <c r="D292" s="384" t="s">
        <v>1150</v>
      </c>
      <c r="E292" s="157"/>
      <c r="F292" s="157">
        <v>27000</v>
      </c>
      <c r="G292" s="157">
        <f t="shared" si="4"/>
        <v>19317879.21999988</v>
      </c>
      <c r="H292" s="158"/>
      <c r="I292" s="158"/>
    </row>
    <row r="293" spans="2:9" s="126" customFormat="1" ht="15.95" customHeight="1">
      <c r="B293" s="154">
        <v>44524</v>
      </c>
      <c r="C293" s="155">
        <v>24661</v>
      </c>
      <c r="D293" s="384" t="s">
        <v>1149</v>
      </c>
      <c r="E293" s="157"/>
      <c r="F293" s="157">
        <v>27000</v>
      </c>
      <c r="G293" s="157">
        <f t="shared" si="4"/>
        <v>19290879.21999988</v>
      </c>
      <c r="H293" s="158"/>
      <c r="I293" s="158"/>
    </row>
    <row r="294" spans="2:9" s="126" customFormat="1" ht="15.95" customHeight="1">
      <c r="B294" s="154">
        <v>44524</v>
      </c>
      <c r="C294" s="155">
        <v>24657</v>
      </c>
      <c r="D294" s="156" t="s">
        <v>2126</v>
      </c>
      <c r="E294" s="157"/>
      <c r="F294" s="157">
        <v>45483.77</v>
      </c>
      <c r="G294" s="157">
        <f t="shared" si="4"/>
        <v>19245395.44999988</v>
      </c>
      <c r="H294" s="158"/>
      <c r="I294" s="158"/>
    </row>
    <row r="295" spans="2:9" s="126" customFormat="1" ht="15.95" customHeight="1">
      <c r="B295" s="154">
        <v>44524</v>
      </c>
      <c r="C295" s="155">
        <v>24601</v>
      </c>
      <c r="D295" s="384" t="s">
        <v>1293</v>
      </c>
      <c r="E295" s="157"/>
      <c r="F295" s="157">
        <v>56500</v>
      </c>
      <c r="G295" s="157">
        <f t="shared" si="4"/>
        <v>19188895.44999988</v>
      </c>
      <c r="H295" s="158"/>
      <c r="I295" s="158"/>
    </row>
    <row r="296" spans="2:9" s="126" customFormat="1" ht="15.95" customHeight="1">
      <c r="B296" s="154">
        <v>44524</v>
      </c>
      <c r="C296" s="155">
        <v>24646</v>
      </c>
      <c r="D296" s="384" t="s">
        <v>1812</v>
      </c>
      <c r="E296" s="157"/>
      <c r="F296" s="157">
        <v>290591.02</v>
      </c>
      <c r="G296" s="157">
        <f t="shared" si="4"/>
        <v>18898304.42999988</v>
      </c>
      <c r="H296" s="158"/>
      <c r="I296" s="158"/>
    </row>
    <row r="297" spans="2:9" s="126" customFormat="1" ht="15.95" customHeight="1">
      <c r="B297" s="154">
        <v>44524</v>
      </c>
      <c r="C297" s="155">
        <v>24681</v>
      </c>
      <c r="D297" s="384" t="s">
        <v>1313</v>
      </c>
      <c r="E297" s="157"/>
      <c r="F297" s="157">
        <v>295283</v>
      </c>
      <c r="G297" s="157">
        <f t="shared" si="4"/>
        <v>18603021.42999988</v>
      </c>
      <c r="H297" s="158"/>
      <c r="I297" s="158"/>
    </row>
    <row r="298" spans="2:9" s="126" customFormat="1" ht="15.95" customHeight="1">
      <c r="B298" s="154">
        <v>44524</v>
      </c>
      <c r="C298" s="155">
        <v>24688</v>
      </c>
      <c r="D298" s="156" t="s">
        <v>1389</v>
      </c>
      <c r="E298" s="157"/>
      <c r="F298" s="157">
        <v>453260</v>
      </c>
      <c r="G298" s="157">
        <f t="shared" si="4"/>
        <v>18149761.42999988</v>
      </c>
      <c r="H298" s="158"/>
      <c r="I298" s="158"/>
    </row>
    <row r="299" spans="2:9" s="126" customFormat="1" ht="15.95" customHeight="1">
      <c r="B299" s="154">
        <v>44524</v>
      </c>
      <c r="C299" s="155">
        <v>24685</v>
      </c>
      <c r="D299" s="384" t="s">
        <v>1348</v>
      </c>
      <c r="E299" s="157"/>
      <c r="F299" s="157">
        <v>1208415</v>
      </c>
      <c r="G299" s="157">
        <f t="shared" si="4"/>
        <v>16941346.42999988</v>
      </c>
      <c r="H299" s="158"/>
      <c r="I299" s="158"/>
    </row>
    <row r="300" spans="2:9" s="126" customFormat="1" ht="15.95" customHeight="1">
      <c r="B300" s="154">
        <v>44524</v>
      </c>
      <c r="C300" s="155">
        <v>24689</v>
      </c>
      <c r="D300" s="156" t="s">
        <v>1389</v>
      </c>
      <c r="E300" s="157"/>
      <c r="F300" s="157">
        <v>1500000</v>
      </c>
      <c r="G300" s="157">
        <f t="shared" si="4"/>
        <v>15441346.42999988</v>
      </c>
      <c r="H300" s="158"/>
      <c r="I300" s="158"/>
    </row>
    <row r="301" spans="2:9" s="126" customFormat="1" ht="15.95" customHeight="1">
      <c r="B301" s="154">
        <v>44524</v>
      </c>
      <c r="C301" s="155">
        <v>24686</v>
      </c>
      <c r="D301" s="156" t="s">
        <v>2127</v>
      </c>
      <c r="E301" s="157"/>
      <c r="F301" s="157">
        <v>3000000</v>
      </c>
      <c r="G301" s="157">
        <f t="shared" si="4"/>
        <v>12441346.42999988</v>
      </c>
      <c r="H301" s="158"/>
      <c r="I301" s="158"/>
    </row>
    <row r="302" spans="2:9" s="126" customFormat="1" ht="15.95" customHeight="1">
      <c r="B302" s="154">
        <v>44524</v>
      </c>
      <c r="C302" s="155">
        <v>24931770949</v>
      </c>
      <c r="D302" s="156" t="s">
        <v>1389</v>
      </c>
      <c r="E302" s="157"/>
      <c r="F302" s="157">
        <v>2450000</v>
      </c>
      <c r="G302" s="157">
        <f t="shared" si="4"/>
        <v>9991346.4299998805</v>
      </c>
      <c r="H302" s="158"/>
      <c r="I302" s="158"/>
    </row>
    <row r="303" spans="2:9" s="126" customFormat="1" ht="15.95" customHeight="1">
      <c r="B303" s="154">
        <v>44524</v>
      </c>
      <c r="C303" s="155">
        <v>24930053106</v>
      </c>
      <c r="D303" s="156" t="s">
        <v>1389</v>
      </c>
      <c r="E303" s="157"/>
      <c r="F303" s="157">
        <v>1000000</v>
      </c>
      <c r="G303" s="157">
        <f t="shared" si="4"/>
        <v>8991346.4299998805</v>
      </c>
      <c r="H303" s="158"/>
      <c r="I303" s="158"/>
    </row>
    <row r="304" spans="2:9" s="126" customFormat="1" ht="15.95" customHeight="1">
      <c r="B304" s="154">
        <v>44524</v>
      </c>
      <c r="C304" s="155">
        <v>24928771529</v>
      </c>
      <c r="D304" s="156" t="s">
        <v>1389</v>
      </c>
      <c r="E304" s="157"/>
      <c r="F304" s="157">
        <v>300000</v>
      </c>
      <c r="G304" s="157">
        <f t="shared" si="4"/>
        <v>8691346.4299998805</v>
      </c>
      <c r="H304" s="158"/>
      <c r="I304" s="158"/>
    </row>
    <row r="305" spans="2:9" s="126" customFormat="1" ht="15.95" customHeight="1">
      <c r="B305" s="154">
        <v>44525</v>
      </c>
      <c r="C305" s="155">
        <v>24943147648</v>
      </c>
      <c r="D305" s="156" t="s">
        <v>1064</v>
      </c>
      <c r="E305" s="157">
        <v>2280000</v>
      </c>
      <c r="F305" s="157"/>
      <c r="G305" s="157">
        <f t="shared" si="4"/>
        <v>10971346.42999988</v>
      </c>
      <c r="H305" s="158"/>
      <c r="I305" s="158"/>
    </row>
    <row r="306" spans="2:9" s="126" customFormat="1" ht="15.95" customHeight="1">
      <c r="B306" s="154">
        <v>44525</v>
      </c>
      <c r="C306" s="155">
        <v>20516745</v>
      </c>
      <c r="D306" s="156" t="s">
        <v>1064</v>
      </c>
      <c r="E306" s="157">
        <v>300000</v>
      </c>
      <c r="F306" s="157"/>
      <c r="G306" s="157">
        <f t="shared" si="4"/>
        <v>11271346.42999988</v>
      </c>
      <c r="H306" s="158"/>
      <c r="I306" s="158"/>
    </row>
    <row r="307" spans="2:9" s="126" customFormat="1" ht="15.95" customHeight="1">
      <c r="B307" s="154">
        <v>44525</v>
      </c>
      <c r="C307" s="155">
        <v>20516737</v>
      </c>
      <c r="D307" s="156" t="s">
        <v>1064</v>
      </c>
      <c r="E307" s="157">
        <v>1500000</v>
      </c>
      <c r="F307" s="157"/>
      <c r="G307" s="157">
        <f t="shared" si="4"/>
        <v>12771346.42999988</v>
      </c>
      <c r="H307" s="158"/>
      <c r="I307" s="158"/>
    </row>
    <row r="308" spans="2:9" s="126" customFormat="1" ht="15.95" customHeight="1">
      <c r="B308" s="154">
        <v>44525</v>
      </c>
      <c r="C308" s="155">
        <v>24687</v>
      </c>
      <c r="D308" s="156" t="s">
        <v>2128</v>
      </c>
      <c r="E308" s="157"/>
      <c r="F308" s="157">
        <v>271989.59999999998</v>
      </c>
      <c r="G308" s="157">
        <f t="shared" si="4"/>
        <v>12499356.829999881</v>
      </c>
      <c r="H308" s="158"/>
      <c r="I308" s="158"/>
    </row>
    <row r="309" spans="2:9" s="126" customFormat="1" ht="15.95" customHeight="1">
      <c r="B309" s="154">
        <v>44525</v>
      </c>
      <c r="C309" s="155">
        <v>24523</v>
      </c>
      <c r="D309" s="384" t="s">
        <v>1766</v>
      </c>
      <c r="E309" s="157"/>
      <c r="F309" s="157">
        <v>1445059.44</v>
      </c>
      <c r="G309" s="157">
        <f t="shared" si="4"/>
        <v>11054297.389999881</v>
      </c>
      <c r="H309" s="158"/>
      <c r="I309" s="158"/>
    </row>
    <row r="310" spans="2:9" s="126" customFormat="1" ht="15.95" customHeight="1">
      <c r="B310" s="154">
        <v>44525</v>
      </c>
      <c r="C310" s="155">
        <v>24944287335</v>
      </c>
      <c r="D310" s="156" t="s">
        <v>1389</v>
      </c>
      <c r="E310" s="157"/>
      <c r="F310" s="157">
        <v>2400000</v>
      </c>
      <c r="G310" s="157">
        <f t="shared" si="4"/>
        <v>8654297.3899998814</v>
      </c>
      <c r="H310" s="158"/>
      <c r="I310" s="158"/>
    </row>
    <row r="311" spans="2:9" s="126" customFormat="1" ht="15.95" customHeight="1">
      <c r="B311" s="154">
        <v>44526</v>
      </c>
      <c r="C311" s="155">
        <v>24949441489</v>
      </c>
      <c r="D311" s="156" t="s">
        <v>1064</v>
      </c>
      <c r="E311" s="157">
        <v>22000</v>
      </c>
      <c r="F311" s="157"/>
      <c r="G311" s="157">
        <f t="shared" si="4"/>
        <v>8676297.3899998814</v>
      </c>
      <c r="H311" s="158"/>
      <c r="I311" s="158"/>
    </row>
    <row r="312" spans="2:9" s="126" customFormat="1" ht="15.95" customHeight="1">
      <c r="B312" s="154">
        <v>44526</v>
      </c>
      <c r="C312" s="155">
        <v>20516736</v>
      </c>
      <c r="D312" s="156" t="s">
        <v>1064</v>
      </c>
      <c r="E312" s="157">
        <v>453260</v>
      </c>
      <c r="F312" s="157"/>
      <c r="G312" s="157">
        <f t="shared" si="4"/>
        <v>9129557.3899998814</v>
      </c>
      <c r="H312" s="158"/>
      <c r="I312" s="158"/>
    </row>
    <row r="313" spans="2:9" s="126" customFormat="1" ht="15.95" customHeight="1">
      <c r="B313" s="154">
        <v>44526</v>
      </c>
      <c r="C313" s="155">
        <v>20516743</v>
      </c>
      <c r="D313" s="156" t="s">
        <v>1064</v>
      </c>
      <c r="E313" s="157">
        <v>5000000</v>
      </c>
      <c r="F313" s="157"/>
      <c r="G313" s="157">
        <f t="shared" si="4"/>
        <v>14129557.389999881</v>
      </c>
      <c r="H313" s="158"/>
      <c r="I313" s="158"/>
    </row>
    <row r="314" spans="2:9" s="126" customFormat="1" ht="15.95" customHeight="1">
      <c r="B314" s="154">
        <v>44526</v>
      </c>
      <c r="C314" s="155">
        <v>24691</v>
      </c>
      <c r="D314" s="156" t="s">
        <v>1389</v>
      </c>
      <c r="E314" s="157"/>
      <c r="F314" s="157">
        <v>1600000</v>
      </c>
      <c r="G314" s="157">
        <f t="shared" si="4"/>
        <v>12529557.389999881</v>
      </c>
      <c r="H314" s="158"/>
      <c r="I314" s="158"/>
    </row>
    <row r="315" spans="2:9" s="126" customFormat="1" ht="15.95" customHeight="1">
      <c r="B315" s="154">
        <v>44526</v>
      </c>
      <c r="C315" s="155">
        <v>24690</v>
      </c>
      <c r="D315" s="156" t="s">
        <v>1224</v>
      </c>
      <c r="E315" s="157"/>
      <c r="F315" s="157">
        <v>239784.1</v>
      </c>
      <c r="G315" s="157">
        <f t="shared" si="4"/>
        <v>12289773.289999882</v>
      </c>
      <c r="H315" s="158"/>
      <c r="I315" s="158"/>
    </row>
    <row r="316" spans="2:9" s="126" customFormat="1" ht="15.95" customHeight="1">
      <c r="B316" s="154">
        <v>44526</v>
      </c>
      <c r="C316" s="155">
        <v>24952007190</v>
      </c>
      <c r="D316" s="156" t="s">
        <v>1389</v>
      </c>
      <c r="E316" s="157"/>
      <c r="F316" s="157">
        <v>3600000</v>
      </c>
      <c r="G316" s="157">
        <f t="shared" si="4"/>
        <v>8689773.2899998818</v>
      </c>
      <c r="H316" s="158"/>
      <c r="I316" s="158"/>
    </row>
    <row r="317" spans="2:9" s="126" customFormat="1" ht="15.95" customHeight="1">
      <c r="B317" s="154">
        <v>44526</v>
      </c>
      <c r="C317" s="155">
        <v>24951624133</v>
      </c>
      <c r="D317" s="156" t="s">
        <v>1389</v>
      </c>
      <c r="E317" s="157"/>
      <c r="F317" s="157">
        <v>10000</v>
      </c>
      <c r="G317" s="157">
        <f t="shared" si="4"/>
        <v>8679773.2899998818</v>
      </c>
      <c r="H317" s="158"/>
      <c r="I317" s="158"/>
    </row>
    <row r="318" spans="2:9" s="126" customFormat="1" ht="15.95" customHeight="1">
      <c r="B318" s="154">
        <v>44529</v>
      </c>
      <c r="C318" s="155">
        <v>20516739</v>
      </c>
      <c r="D318" s="156" t="s">
        <v>1064</v>
      </c>
      <c r="E318" s="157">
        <v>810500</v>
      </c>
      <c r="F318" s="157"/>
      <c r="G318" s="157">
        <f t="shared" si="4"/>
        <v>9490273.2899998818</v>
      </c>
      <c r="H318" s="158"/>
      <c r="I318" s="158"/>
    </row>
    <row r="319" spans="2:9" s="126" customFormat="1" ht="15.95" customHeight="1">
      <c r="B319" s="154">
        <v>44529</v>
      </c>
      <c r="C319" s="155">
        <v>24976469818</v>
      </c>
      <c r="D319" s="156" t="s">
        <v>1389</v>
      </c>
      <c r="E319" s="157"/>
      <c r="F319" s="157">
        <v>810000</v>
      </c>
      <c r="G319" s="157">
        <f t="shared" si="4"/>
        <v>8680273.2899998818</v>
      </c>
      <c r="H319" s="158"/>
      <c r="I319" s="158"/>
    </row>
    <row r="320" spans="2:9" s="126" customFormat="1" ht="15.95" customHeight="1">
      <c r="B320" s="154" t="s">
        <v>2150</v>
      </c>
      <c r="C320" s="160" t="s">
        <v>2151</v>
      </c>
      <c r="D320" s="156" t="s">
        <v>2152</v>
      </c>
      <c r="E320" s="157"/>
      <c r="F320" s="157">
        <v>56500</v>
      </c>
      <c r="G320" s="157">
        <f t="shared" si="4"/>
        <v>8623773.2899998818</v>
      </c>
      <c r="H320" s="158"/>
      <c r="I320" s="158"/>
    </row>
    <row r="321" spans="2:9" s="126" customFormat="1" ht="15.95" customHeight="1">
      <c r="B321" s="154" t="s">
        <v>2150</v>
      </c>
      <c r="C321" s="160" t="s">
        <v>1350</v>
      </c>
      <c r="D321" s="156" t="s">
        <v>1351</v>
      </c>
      <c r="E321" s="157"/>
      <c r="F321" s="157">
        <v>248502.64</v>
      </c>
      <c r="G321" s="157">
        <f t="shared" si="4"/>
        <v>8375270.6499998821</v>
      </c>
      <c r="H321" s="158"/>
      <c r="I321" s="158"/>
    </row>
    <row r="322" spans="2:9" ht="15.95" customHeight="1">
      <c r="B322" s="154" t="s">
        <v>2150</v>
      </c>
      <c r="C322" s="160" t="s">
        <v>1350</v>
      </c>
      <c r="D322" s="156" t="s">
        <v>1352</v>
      </c>
      <c r="E322" s="157"/>
      <c r="F322" s="157">
        <v>504240.96000000025</v>
      </c>
      <c r="G322" s="157">
        <f t="shared" si="4"/>
        <v>7871029.6899998821</v>
      </c>
    </row>
    <row r="323" spans="2:9" ht="15.95" customHeight="1">
      <c r="B323" s="154" t="s">
        <v>2150</v>
      </c>
      <c r="C323" s="160" t="s">
        <v>1350</v>
      </c>
      <c r="D323" s="156" t="s">
        <v>1353</v>
      </c>
      <c r="E323" s="157"/>
      <c r="F323" s="157">
        <v>99675.37</v>
      </c>
      <c r="G323" s="157">
        <f t="shared" si="4"/>
        <v>7771354.319999882</v>
      </c>
    </row>
    <row r="324" spans="2:9" ht="15.75" thickBot="1">
      <c r="B324" s="161"/>
      <c r="C324" s="113"/>
      <c r="D324" s="162"/>
      <c r="E324" s="163"/>
      <c r="F324" s="164"/>
      <c r="G324" s="165"/>
    </row>
    <row r="325" spans="2:9">
      <c r="B325" s="166"/>
      <c r="C325" s="167"/>
      <c r="D325" s="168"/>
      <c r="E325" s="169"/>
      <c r="F325" s="170"/>
      <c r="G325" s="171"/>
    </row>
    <row r="326" spans="2:9" ht="16.5" thickBot="1">
      <c r="B326" s="166"/>
      <c r="C326" s="167"/>
      <c r="D326" s="172" t="s">
        <v>1354</v>
      </c>
      <c r="E326" s="173">
        <f>SUM(E16:E324)</f>
        <v>369053469</v>
      </c>
      <c r="F326" s="173">
        <f>SUM(F16:F324)</f>
        <v>369020353.51000011</v>
      </c>
      <c r="G326" s="174">
        <f>+G13+E326-F326</f>
        <v>7771354.319999814</v>
      </c>
    </row>
    <row r="327" spans="2:9" ht="15.75" thickTop="1">
      <c r="B327" s="166"/>
      <c r="C327" s="167"/>
      <c r="D327" s="168"/>
      <c r="E327" s="169"/>
      <c r="F327" s="177"/>
      <c r="G327" s="171"/>
    </row>
    <row r="328" spans="2:9">
      <c r="B328" s="166"/>
      <c r="C328" s="167"/>
      <c r="D328" s="168"/>
      <c r="E328" s="169"/>
      <c r="F328" s="177"/>
      <c r="G328" s="178">
        <f>+[5]BANCO!F14</f>
        <v>7771354.3200000003</v>
      </c>
    </row>
    <row r="329" spans="2:9">
      <c r="B329" s="166"/>
      <c r="C329" s="167"/>
      <c r="D329" s="168"/>
      <c r="E329" s="169"/>
      <c r="F329" s="177"/>
      <c r="G329" s="179"/>
    </row>
    <row r="330" spans="2:9">
      <c r="B330" s="166"/>
      <c r="C330" s="230"/>
      <c r="D330" s="230"/>
      <c r="E330" s="230"/>
      <c r="F330" s="230"/>
      <c r="G330" s="231">
        <f>+G326-G328</f>
        <v>-1.862645149230957E-7</v>
      </c>
    </row>
    <row r="331" spans="2:9">
      <c r="B331" s="166"/>
      <c r="C331" s="167"/>
      <c r="D331" s="168"/>
      <c r="E331" s="169"/>
      <c r="F331" s="177"/>
      <c r="G331" s="171"/>
    </row>
    <row r="332" spans="2:9">
      <c r="B332" s="402" t="s">
        <v>1862</v>
      </c>
      <c r="C332" s="402"/>
      <c r="D332" s="402"/>
      <c r="E332" s="403" t="s">
        <v>876</v>
      </c>
      <c r="F332" s="403"/>
      <c r="G332" s="403"/>
    </row>
    <row r="333" spans="2:9">
      <c r="B333" s="392" t="s">
        <v>1863</v>
      </c>
      <c r="C333" s="392"/>
      <c r="D333" s="392"/>
      <c r="E333" s="393" t="s">
        <v>1357</v>
      </c>
      <c r="F333" s="393"/>
      <c r="G333" s="393"/>
    </row>
    <row r="334" spans="2:9" ht="15.75">
      <c r="B334" s="181"/>
      <c r="C334" s="182"/>
      <c r="E334" s="183"/>
      <c r="F334" s="183"/>
      <c r="G334" s="183"/>
    </row>
    <row r="335" spans="2:9" ht="15.75">
      <c r="B335" s="181"/>
      <c r="C335" s="182"/>
      <c r="D335" s="184"/>
      <c r="E335" s="184"/>
      <c r="F335" s="183"/>
      <c r="G335" s="171"/>
    </row>
    <row r="336" spans="2:9">
      <c r="B336" s="166"/>
      <c r="C336" s="167"/>
      <c r="D336" s="168"/>
      <c r="E336" s="169"/>
      <c r="F336" s="177"/>
      <c r="G336" s="171"/>
    </row>
    <row r="337" spans="2:7">
      <c r="B337" s="166"/>
      <c r="C337" s="167"/>
      <c r="D337" s="168"/>
      <c r="E337" s="169"/>
      <c r="F337" s="177"/>
      <c r="G337" s="171"/>
    </row>
    <row r="338" spans="2:7">
      <c r="B338" s="394" t="s">
        <v>877</v>
      </c>
      <c r="C338" s="394"/>
      <c r="D338" s="394"/>
      <c r="E338" s="394"/>
      <c r="F338" s="394"/>
      <c r="G338" s="394"/>
    </row>
    <row r="339" spans="2:7">
      <c r="B339" s="393" t="s">
        <v>743</v>
      </c>
      <c r="C339" s="393"/>
      <c r="D339" s="393"/>
      <c r="E339" s="393"/>
      <c r="F339" s="393"/>
      <c r="G339" s="393"/>
    </row>
    <row r="340" spans="2:7">
      <c r="B340" s="166"/>
      <c r="C340" s="167"/>
      <c r="D340" s="168"/>
      <c r="E340" s="169"/>
      <c r="F340" s="177"/>
      <c r="G340" s="171"/>
    </row>
    <row r="342" spans="2:7">
      <c r="G342" s="187"/>
    </row>
  </sheetData>
  <mergeCells count="11">
    <mergeCell ref="E332:G332"/>
    <mergeCell ref="B333:D333"/>
    <mergeCell ref="E333:G333"/>
    <mergeCell ref="B338:G338"/>
    <mergeCell ref="B339:G339"/>
    <mergeCell ref="B8:G8"/>
    <mergeCell ref="B9:G9"/>
    <mergeCell ref="B10:G10"/>
    <mergeCell ref="B12:G12"/>
    <mergeCell ref="E13:F13"/>
    <mergeCell ref="B332:D33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0"/>
  <sheetViews>
    <sheetView topLeftCell="A148" workbookViewId="0">
      <selection activeCell="E162" sqref="E162"/>
    </sheetView>
  </sheetViews>
  <sheetFormatPr baseColWidth="10" defaultRowHeight="15"/>
  <cols>
    <col min="1" max="1" width="11.5703125" style="237" customWidth="1"/>
    <col min="2" max="2" width="16.28515625" style="237" customWidth="1"/>
    <col min="3" max="3" width="65.5703125" style="197" customWidth="1"/>
    <col min="4" max="4" width="14.7109375" style="239" bestFit="1" customWidth="1"/>
    <col min="5" max="5" width="17.28515625" style="275" bestFit="1" customWidth="1"/>
    <col min="6" max="6" width="17.28515625" style="275" customWidth="1"/>
    <col min="7" max="7" width="37.42578125" style="197" customWidth="1"/>
    <col min="8" max="8" width="13.42578125" style="198" bestFit="1" customWidth="1"/>
    <col min="9" max="14" width="11.42578125" style="198"/>
    <col min="15" max="16384" width="11.42578125" style="197"/>
  </cols>
  <sheetData>
    <row r="1" spans="1:14" ht="23.25">
      <c r="A1" s="408" t="s">
        <v>1358</v>
      </c>
      <c r="B1" s="408"/>
      <c r="C1" s="408"/>
      <c r="D1" s="408"/>
      <c r="E1" s="408"/>
      <c r="F1" s="366"/>
    </row>
    <row r="2" spans="1:14" ht="20.25">
      <c r="A2" s="409" t="s">
        <v>1359</v>
      </c>
      <c r="B2" s="409"/>
      <c r="C2" s="409"/>
      <c r="D2" s="409"/>
      <c r="E2" s="409"/>
      <c r="F2" s="367"/>
    </row>
    <row r="3" spans="1:14" ht="18">
      <c r="A3" s="405" t="s">
        <v>1360</v>
      </c>
      <c r="B3" s="405"/>
      <c r="C3" s="405"/>
      <c r="D3" s="405"/>
      <c r="E3" s="405"/>
      <c r="F3" s="363"/>
    </row>
    <row r="4" spans="1:14" ht="15.75">
      <c r="A4" s="410" t="s">
        <v>1361</v>
      </c>
      <c r="B4" s="410"/>
      <c r="C4" s="410"/>
      <c r="D4" s="410"/>
      <c r="E4" s="410"/>
      <c r="F4" s="368"/>
    </row>
    <row r="5" spans="1:14">
      <c r="A5" s="411" t="s">
        <v>2048</v>
      </c>
      <c r="B5" s="411"/>
      <c r="C5" s="411"/>
      <c r="D5" s="411"/>
      <c r="E5" s="411"/>
      <c r="F5" s="369"/>
    </row>
    <row r="6" spans="1:14">
      <c r="C6" s="238"/>
      <c r="E6" s="240"/>
      <c r="F6" s="240"/>
      <c r="I6" s="404" t="s">
        <v>1362</v>
      </c>
      <c r="J6" s="404"/>
      <c r="K6" s="404"/>
      <c r="L6" s="404"/>
      <c r="M6" s="404"/>
      <c r="N6" s="404"/>
    </row>
    <row r="7" spans="1:14">
      <c r="A7" s="241" t="s">
        <v>1058</v>
      </c>
      <c r="B7" s="241" t="s">
        <v>1363</v>
      </c>
      <c r="C7" s="242" t="s">
        <v>1364</v>
      </c>
      <c r="D7" s="243" t="s">
        <v>1365</v>
      </c>
      <c r="E7" s="244" t="s">
        <v>1366</v>
      </c>
      <c r="F7" s="245"/>
      <c r="I7" s="362">
        <v>0.05</v>
      </c>
      <c r="J7" s="362" t="s">
        <v>1367</v>
      </c>
      <c r="K7" s="362" t="s">
        <v>1368</v>
      </c>
      <c r="L7" s="362" t="s">
        <v>1369</v>
      </c>
      <c r="M7" s="362" t="s">
        <v>1370</v>
      </c>
      <c r="N7" s="362" t="s">
        <v>1371</v>
      </c>
    </row>
    <row r="8" spans="1:14">
      <c r="A8" s="328">
        <v>44491</v>
      </c>
      <c r="B8" s="370">
        <v>44517</v>
      </c>
      <c r="C8" s="193" t="s">
        <v>1163</v>
      </c>
      <c r="D8" s="192">
        <v>24444</v>
      </c>
      <c r="E8" s="196">
        <v>67800</v>
      </c>
      <c r="F8" s="196"/>
      <c r="G8" s="197" t="s">
        <v>102</v>
      </c>
      <c r="I8" s="198">
        <v>3000</v>
      </c>
    </row>
    <row r="9" spans="1:14">
      <c r="A9" s="328">
        <v>44494</v>
      </c>
      <c r="B9" s="370">
        <v>44502</v>
      </c>
      <c r="C9" s="193" t="s">
        <v>1906</v>
      </c>
      <c r="D9" s="192">
        <v>24459</v>
      </c>
      <c r="E9" s="196">
        <v>534716</v>
      </c>
      <c r="F9" s="196"/>
      <c r="G9" s="197" t="s">
        <v>1387</v>
      </c>
      <c r="I9" s="198">
        <v>31416</v>
      </c>
    </row>
    <row r="10" spans="1:14">
      <c r="A10" s="247">
        <v>44501</v>
      </c>
      <c r="B10" s="370">
        <v>44510</v>
      </c>
      <c r="C10" s="193" t="s">
        <v>1348</v>
      </c>
      <c r="D10" s="192">
        <v>24464</v>
      </c>
      <c r="E10" s="249">
        <v>3607500</v>
      </c>
      <c r="F10" s="249"/>
      <c r="G10" s="197" t="s">
        <v>1387</v>
      </c>
    </row>
    <row r="11" spans="1:14">
      <c r="A11" s="247">
        <v>44501</v>
      </c>
      <c r="B11" s="370">
        <v>44511</v>
      </c>
      <c r="C11" s="193" t="s">
        <v>1348</v>
      </c>
      <c r="D11" s="192">
        <v>24465</v>
      </c>
      <c r="E11" s="249">
        <v>9048000</v>
      </c>
      <c r="F11" s="249"/>
      <c r="G11" s="197" t="s">
        <v>1387</v>
      </c>
    </row>
    <row r="12" spans="1:14">
      <c r="A12" s="247">
        <v>44501</v>
      </c>
      <c r="B12" s="370">
        <v>44510</v>
      </c>
      <c r="C12" s="193" t="s">
        <v>2065</v>
      </c>
      <c r="D12" s="192">
        <v>24467</v>
      </c>
      <c r="E12" s="249">
        <v>137706.85</v>
      </c>
      <c r="F12" s="249"/>
      <c r="G12" s="371" t="s">
        <v>1388</v>
      </c>
    </row>
    <row r="13" spans="1:14">
      <c r="A13" s="247">
        <v>44501</v>
      </c>
      <c r="B13" s="370">
        <v>44510</v>
      </c>
      <c r="C13" s="193" t="s">
        <v>2066</v>
      </c>
      <c r="D13" s="192">
        <v>24468</v>
      </c>
      <c r="E13" s="249">
        <v>21349.41</v>
      </c>
      <c r="F13" s="249"/>
      <c r="G13" s="371" t="s">
        <v>1388</v>
      </c>
    </row>
    <row r="14" spans="1:14">
      <c r="A14" s="247">
        <v>44501</v>
      </c>
      <c r="B14" s="370">
        <v>44510</v>
      </c>
      <c r="C14" s="193" t="s">
        <v>2067</v>
      </c>
      <c r="D14" s="192">
        <v>24469</v>
      </c>
      <c r="E14" s="249">
        <v>55725.66</v>
      </c>
      <c r="F14" s="249"/>
      <c r="G14" s="371" t="s">
        <v>1388</v>
      </c>
    </row>
    <row r="15" spans="1:14">
      <c r="A15" s="247">
        <v>44501</v>
      </c>
      <c r="B15" s="370">
        <v>44510</v>
      </c>
      <c r="C15" s="193" t="s">
        <v>2068</v>
      </c>
      <c r="D15" s="192">
        <v>24470</v>
      </c>
      <c r="E15" s="249">
        <v>184979.23</v>
      </c>
      <c r="F15" s="249"/>
      <c r="G15" s="371" t="s">
        <v>1388</v>
      </c>
    </row>
    <row r="16" spans="1:14">
      <c r="A16" s="247">
        <v>44501</v>
      </c>
      <c r="B16" s="370">
        <v>44510</v>
      </c>
      <c r="C16" s="193" t="s">
        <v>2069</v>
      </c>
      <c r="D16" s="192">
        <v>24471</v>
      </c>
      <c r="E16" s="249">
        <v>85958.7</v>
      </c>
      <c r="F16" s="249"/>
      <c r="G16" s="197" t="s">
        <v>1388</v>
      </c>
    </row>
    <row r="17" spans="1:8">
      <c r="A17" s="247">
        <v>44501</v>
      </c>
      <c r="B17" s="370">
        <v>44510</v>
      </c>
      <c r="C17" s="193" t="s">
        <v>2070</v>
      </c>
      <c r="D17" s="192">
        <v>24472</v>
      </c>
      <c r="E17" s="249">
        <v>111123.52</v>
      </c>
      <c r="F17" s="249"/>
      <c r="G17" s="197" t="s">
        <v>1388</v>
      </c>
    </row>
    <row r="18" spans="1:8">
      <c r="A18" s="247">
        <v>44501</v>
      </c>
      <c r="B18" s="370">
        <v>44510</v>
      </c>
      <c r="C18" s="193" t="s">
        <v>2071</v>
      </c>
      <c r="D18" s="192">
        <v>24473</v>
      </c>
      <c r="E18" s="249">
        <v>82818.03</v>
      </c>
      <c r="F18" s="249"/>
      <c r="G18" s="197" t="s">
        <v>1388</v>
      </c>
    </row>
    <row r="19" spans="1:8">
      <c r="A19" s="247">
        <v>44501</v>
      </c>
      <c r="B19" s="370">
        <v>44510</v>
      </c>
      <c r="C19" s="193" t="s">
        <v>2072</v>
      </c>
      <c r="D19" s="192">
        <v>24474</v>
      </c>
      <c r="E19" s="249">
        <v>92625.37</v>
      </c>
      <c r="F19" s="249"/>
      <c r="G19" s="197" t="s">
        <v>1388</v>
      </c>
    </row>
    <row r="20" spans="1:8">
      <c r="A20" s="247">
        <v>44501</v>
      </c>
      <c r="B20" s="370">
        <v>44510</v>
      </c>
      <c r="C20" s="193" t="s">
        <v>2073</v>
      </c>
      <c r="D20" s="192">
        <v>24475</v>
      </c>
      <c r="E20" s="249">
        <v>89878.86</v>
      </c>
      <c r="F20" s="249"/>
      <c r="G20" s="197" t="s">
        <v>1388</v>
      </c>
    </row>
    <row r="21" spans="1:8">
      <c r="A21" s="247">
        <v>44501</v>
      </c>
      <c r="B21" s="370">
        <v>44510</v>
      </c>
      <c r="C21" s="193" t="s">
        <v>2074</v>
      </c>
      <c r="D21" s="192">
        <v>24476</v>
      </c>
      <c r="E21" s="249">
        <v>112365.48</v>
      </c>
      <c r="F21" s="249"/>
      <c r="G21" s="197" t="s">
        <v>1388</v>
      </c>
    </row>
    <row r="22" spans="1:8">
      <c r="A22" s="247">
        <v>44501</v>
      </c>
      <c r="B22" s="370">
        <v>44510</v>
      </c>
      <c r="C22" s="193" t="s">
        <v>2075</v>
      </c>
      <c r="D22" s="192">
        <v>24477</v>
      </c>
      <c r="E22" s="249">
        <v>153149.75</v>
      </c>
      <c r="F22" s="249"/>
      <c r="G22" s="197" t="s">
        <v>1388</v>
      </c>
    </row>
    <row r="23" spans="1:8">
      <c r="A23" s="247">
        <v>44501</v>
      </c>
      <c r="B23" s="370">
        <v>44510</v>
      </c>
      <c r="C23" s="193" t="s">
        <v>2076</v>
      </c>
      <c r="D23" s="192">
        <v>24478</v>
      </c>
      <c r="E23" s="249">
        <v>27074.11</v>
      </c>
      <c r="F23" s="249"/>
      <c r="G23" s="197" t="s">
        <v>1388</v>
      </c>
    </row>
    <row r="24" spans="1:8">
      <c r="A24" s="247">
        <v>44501</v>
      </c>
      <c r="B24" s="370">
        <v>44510</v>
      </c>
      <c r="C24" s="193" t="s">
        <v>2077</v>
      </c>
      <c r="D24" s="192">
        <v>24479</v>
      </c>
      <c r="E24" s="249">
        <v>364380.48</v>
      </c>
      <c r="F24" s="249"/>
      <c r="G24" s="197" t="s">
        <v>1388</v>
      </c>
    </row>
    <row r="25" spans="1:8">
      <c r="A25" s="247">
        <v>44501</v>
      </c>
      <c r="B25" s="370">
        <v>44510</v>
      </c>
      <c r="C25" s="193" t="s">
        <v>2078</v>
      </c>
      <c r="D25" s="192">
        <v>24480</v>
      </c>
      <c r="E25" s="249">
        <v>177686.94</v>
      </c>
      <c r="F25" s="249"/>
      <c r="G25" s="197" t="s">
        <v>1388</v>
      </c>
    </row>
    <row r="26" spans="1:8">
      <c r="A26" s="247">
        <v>44501</v>
      </c>
      <c r="B26" s="370">
        <v>44519</v>
      </c>
      <c r="C26" s="193" t="s">
        <v>1146</v>
      </c>
      <c r="D26" s="192">
        <v>24481</v>
      </c>
      <c r="E26" s="249">
        <v>18000</v>
      </c>
      <c r="F26" s="249"/>
      <c r="G26" s="197" t="s">
        <v>1388</v>
      </c>
    </row>
    <row r="27" spans="1:8">
      <c r="A27" s="247">
        <v>44501</v>
      </c>
      <c r="B27" s="370">
        <v>44518</v>
      </c>
      <c r="C27" s="193" t="s">
        <v>2079</v>
      </c>
      <c r="D27" s="192">
        <v>24482</v>
      </c>
      <c r="E27" s="249">
        <v>28250</v>
      </c>
      <c r="F27" s="249"/>
      <c r="G27" s="197" t="s">
        <v>1388</v>
      </c>
    </row>
    <row r="28" spans="1:8">
      <c r="A28" s="247">
        <v>44502</v>
      </c>
      <c r="B28" s="370">
        <v>44503</v>
      </c>
      <c r="C28" s="193" t="s">
        <v>1739</v>
      </c>
      <c r="D28" s="192">
        <v>24483</v>
      </c>
      <c r="E28" s="251">
        <v>8801255.4699999988</v>
      </c>
      <c r="F28" s="251">
        <f>+E28</f>
        <v>8801255.4699999988</v>
      </c>
      <c r="G28" s="197" t="s">
        <v>1866</v>
      </c>
      <c r="H28" s="198">
        <f>12302970.12-H27</f>
        <v>12302970.119999999</v>
      </c>
    </row>
    <row r="29" spans="1:8">
      <c r="A29" s="247">
        <v>44502</v>
      </c>
      <c r="B29" s="370">
        <v>44503</v>
      </c>
      <c r="C29" s="193" t="s">
        <v>1739</v>
      </c>
      <c r="D29" s="192">
        <v>24483</v>
      </c>
      <c r="E29" s="251">
        <v>3501714.65</v>
      </c>
      <c r="F29" s="251"/>
      <c r="G29" s="197" t="s">
        <v>1395</v>
      </c>
      <c r="H29" s="198">
        <v>3501714.65</v>
      </c>
    </row>
    <row r="30" spans="1:8">
      <c r="A30" s="247">
        <v>44502</v>
      </c>
      <c r="B30" s="370">
        <v>44503</v>
      </c>
      <c r="C30" s="193" t="s">
        <v>1739</v>
      </c>
      <c r="D30" s="192">
        <v>24484</v>
      </c>
      <c r="E30" s="249">
        <v>2684787.38</v>
      </c>
      <c r="F30" s="249">
        <f>+E30</f>
        <v>2684787.38</v>
      </c>
      <c r="G30" s="197" t="s">
        <v>1899</v>
      </c>
    </row>
    <row r="31" spans="1:8">
      <c r="A31" s="247">
        <v>44502</v>
      </c>
      <c r="B31" s="370">
        <v>44503</v>
      </c>
      <c r="C31" s="193" t="s">
        <v>1389</v>
      </c>
      <c r="D31" s="192">
        <v>24485</v>
      </c>
      <c r="E31" s="249">
        <v>800000</v>
      </c>
      <c r="F31" s="249"/>
      <c r="G31" s="197" t="s">
        <v>1390</v>
      </c>
    </row>
    <row r="32" spans="1:8">
      <c r="A32" s="247">
        <v>44502</v>
      </c>
      <c r="B32" s="370">
        <v>44503</v>
      </c>
      <c r="C32" s="193" t="s">
        <v>1389</v>
      </c>
      <c r="D32" s="192">
        <v>24486</v>
      </c>
      <c r="E32" s="249">
        <v>909840</v>
      </c>
      <c r="F32" s="249"/>
      <c r="G32" s="197" t="s">
        <v>1390</v>
      </c>
    </row>
    <row r="33" spans="1:7">
      <c r="A33" s="247">
        <v>44504</v>
      </c>
      <c r="B33" s="370">
        <v>44510</v>
      </c>
      <c r="C33" s="193" t="s">
        <v>2052</v>
      </c>
      <c r="D33" s="192">
        <v>24487</v>
      </c>
      <c r="E33" s="249">
        <v>23557.89</v>
      </c>
      <c r="F33" s="249">
        <f>+E33+E32</f>
        <v>933397.89</v>
      </c>
      <c r="G33" s="197" t="s">
        <v>2053</v>
      </c>
    </row>
    <row r="34" spans="1:7">
      <c r="A34" s="247">
        <v>44505</v>
      </c>
      <c r="B34" s="370">
        <v>44509</v>
      </c>
      <c r="C34" s="193" t="s">
        <v>1389</v>
      </c>
      <c r="D34" s="192">
        <v>24488</v>
      </c>
      <c r="E34" s="249">
        <v>10000000</v>
      </c>
      <c r="F34" s="249"/>
      <c r="G34" s="197" t="s">
        <v>1390</v>
      </c>
    </row>
    <row r="35" spans="1:7">
      <c r="A35" s="247">
        <v>44505</v>
      </c>
      <c r="B35" s="370">
        <v>44509</v>
      </c>
      <c r="C35" s="193" t="s">
        <v>1389</v>
      </c>
      <c r="D35" s="192">
        <v>24489</v>
      </c>
      <c r="E35" s="249">
        <v>10000000</v>
      </c>
      <c r="F35" s="249"/>
      <c r="G35" s="197" t="s">
        <v>1390</v>
      </c>
    </row>
    <row r="36" spans="1:7">
      <c r="A36" s="247">
        <v>44505</v>
      </c>
      <c r="B36" s="370">
        <v>44509</v>
      </c>
      <c r="C36" s="193" t="s">
        <v>1389</v>
      </c>
      <c r="D36" s="192">
        <v>24490</v>
      </c>
      <c r="E36" s="249">
        <v>10000000</v>
      </c>
      <c r="F36" s="249"/>
      <c r="G36" s="197" t="s">
        <v>1390</v>
      </c>
    </row>
    <row r="37" spans="1:7">
      <c r="A37" s="247">
        <v>44505</v>
      </c>
      <c r="B37" s="370">
        <v>44509</v>
      </c>
      <c r="C37" s="193" t="s">
        <v>1389</v>
      </c>
      <c r="D37" s="192">
        <v>24491</v>
      </c>
      <c r="E37" s="249">
        <v>10000000</v>
      </c>
      <c r="F37" s="249"/>
      <c r="G37" s="197" t="s">
        <v>1390</v>
      </c>
    </row>
    <row r="38" spans="1:7">
      <c r="A38" s="247">
        <v>44505</v>
      </c>
      <c r="B38" s="370">
        <v>44509</v>
      </c>
      <c r="C38" s="193" t="s">
        <v>1389</v>
      </c>
      <c r="D38" s="192">
        <v>24492</v>
      </c>
      <c r="E38" s="249">
        <v>10000000</v>
      </c>
      <c r="F38" s="249"/>
      <c r="G38" s="197" t="s">
        <v>1390</v>
      </c>
    </row>
    <row r="39" spans="1:7">
      <c r="A39" s="247">
        <v>44505</v>
      </c>
      <c r="B39" s="370">
        <v>44509</v>
      </c>
      <c r="C39" s="193" t="s">
        <v>1389</v>
      </c>
      <c r="D39" s="192">
        <v>24493</v>
      </c>
      <c r="E39" s="249">
        <v>10000000</v>
      </c>
      <c r="F39" s="249"/>
      <c r="G39" s="197" t="s">
        <v>1390</v>
      </c>
    </row>
    <row r="40" spans="1:7">
      <c r="A40" s="247">
        <v>44505</v>
      </c>
      <c r="B40" s="370">
        <v>44509</v>
      </c>
      <c r="C40" s="193" t="s">
        <v>1389</v>
      </c>
      <c r="D40" s="192">
        <v>24494</v>
      </c>
      <c r="E40" s="249">
        <v>10000000</v>
      </c>
      <c r="F40" s="249"/>
      <c r="G40" s="197" t="s">
        <v>1390</v>
      </c>
    </row>
    <row r="41" spans="1:7">
      <c r="A41" s="247">
        <v>44505</v>
      </c>
      <c r="B41" s="370">
        <v>44509</v>
      </c>
      <c r="C41" s="193" t="s">
        <v>1389</v>
      </c>
      <c r="D41" s="192">
        <v>24495</v>
      </c>
      <c r="E41" s="249">
        <v>10000000</v>
      </c>
      <c r="F41" s="249"/>
      <c r="G41" s="197" t="s">
        <v>1390</v>
      </c>
    </row>
    <row r="42" spans="1:7">
      <c r="A42" s="247">
        <v>44505</v>
      </c>
      <c r="B42" s="370">
        <v>44509</v>
      </c>
      <c r="C42" s="193" t="s">
        <v>1389</v>
      </c>
      <c r="D42" s="192">
        <v>24496</v>
      </c>
      <c r="E42" s="249">
        <v>10000000</v>
      </c>
      <c r="F42" s="249"/>
      <c r="G42" s="197" t="s">
        <v>1390</v>
      </c>
    </row>
    <row r="43" spans="1:7">
      <c r="A43" s="247">
        <v>44505</v>
      </c>
      <c r="B43" s="370">
        <v>44509</v>
      </c>
      <c r="C43" s="193" t="s">
        <v>1389</v>
      </c>
      <c r="D43" s="192">
        <v>24497</v>
      </c>
      <c r="E43" s="249">
        <v>10000000</v>
      </c>
      <c r="F43" s="249"/>
      <c r="G43" s="197" t="s">
        <v>1390</v>
      </c>
    </row>
    <row r="44" spans="1:7">
      <c r="A44" s="247">
        <v>44505</v>
      </c>
      <c r="B44" s="370">
        <v>44509</v>
      </c>
      <c r="C44" s="193" t="s">
        <v>1389</v>
      </c>
      <c r="D44" s="192">
        <v>24498</v>
      </c>
      <c r="E44" s="249">
        <v>10000000</v>
      </c>
      <c r="F44" s="249"/>
      <c r="G44" s="197" t="s">
        <v>1390</v>
      </c>
    </row>
    <row r="45" spans="1:7">
      <c r="A45" s="247">
        <v>44505</v>
      </c>
      <c r="B45" s="370">
        <v>44509</v>
      </c>
      <c r="C45" s="193" t="s">
        <v>1389</v>
      </c>
      <c r="D45" s="192">
        <v>24499</v>
      </c>
      <c r="E45" s="249">
        <v>10000000</v>
      </c>
      <c r="F45" s="249"/>
      <c r="G45" s="197" t="s">
        <v>1390</v>
      </c>
    </row>
    <row r="46" spans="1:7">
      <c r="A46" s="247">
        <v>44505</v>
      </c>
      <c r="B46" s="370">
        <v>44509</v>
      </c>
      <c r="C46" s="193" t="s">
        <v>1389</v>
      </c>
      <c r="D46" s="192">
        <v>24500</v>
      </c>
      <c r="E46" s="249">
        <v>10000000</v>
      </c>
      <c r="F46" s="249"/>
      <c r="G46" s="197" t="s">
        <v>1390</v>
      </c>
    </row>
    <row r="47" spans="1:7">
      <c r="A47" s="247">
        <v>44505</v>
      </c>
      <c r="B47" s="370">
        <v>44509</v>
      </c>
      <c r="C47" s="193" t="s">
        <v>1389</v>
      </c>
      <c r="D47" s="192">
        <v>24501</v>
      </c>
      <c r="E47" s="249">
        <v>10000000</v>
      </c>
      <c r="F47" s="249"/>
      <c r="G47" s="197" t="s">
        <v>1390</v>
      </c>
    </row>
    <row r="48" spans="1:7">
      <c r="A48" s="247">
        <v>44505</v>
      </c>
      <c r="B48" s="370">
        <v>44509</v>
      </c>
      <c r="C48" s="193" t="s">
        <v>1389</v>
      </c>
      <c r="D48" s="192">
        <v>24502</v>
      </c>
      <c r="E48" s="249">
        <v>10000000</v>
      </c>
      <c r="F48" s="249"/>
      <c r="G48" s="197" t="s">
        <v>1390</v>
      </c>
    </row>
    <row r="49" spans="1:14">
      <c r="A49" s="247">
        <v>44505</v>
      </c>
      <c r="B49" s="370">
        <v>44509</v>
      </c>
      <c r="C49" s="193" t="s">
        <v>1389</v>
      </c>
      <c r="D49" s="192">
        <v>24503</v>
      </c>
      <c r="E49" s="249">
        <v>10000000</v>
      </c>
      <c r="F49" s="249"/>
      <c r="G49" s="197" t="s">
        <v>1390</v>
      </c>
    </row>
    <row r="50" spans="1:14">
      <c r="A50" s="247">
        <v>44505</v>
      </c>
      <c r="B50" s="370">
        <v>44509</v>
      </c>
      <c r="C50" s="193" t="s">
        <v>1389</v>
      </c>
      <c r="D50" s="192">
        <v>24504</v>
      </c>
      <c r="E50" s="249">
        <v>10000000</v>
      </c>
      <c r="F50" s="249"/>
      <c r="G50" s="197" t="s">
        <v>1390</v>
      </c>
    </row>
    <row r="51" spans="1:14">
      <c r="A51" s="247">
        <v>44505</v>
      </c>
      <c r="B51" s="370">
        <v>44509</v>
      </c>
      <c r="C51" s="193" t="s">
        <v>1389</v>
      </c>
      <c r="D51" s="192">
        <v>24505</v>
      </c>
      <c r="E51" s="249">
        <v>10000000</v>
      </c>
      <c r="F51" s="249"/>
      <c r="G51" s="197" t="s">
        <v>1390</v>
      </c>
    </row>
    <row r="52" spans="1:14">
      <c r="A52" s="247">
        <v>44505</v>
      </c>
      <c r="B52" s="370">
        <v>44509</v>
      </c>
      <c r="C52" s="193" t="s">
        <v>1389</v>
      </c>
      <c r="D52" s="192">
        <v>24506</v>
      </c>
      <c r="E52" s="249">
        <v>10000000</v>
      </c>
      <c r="F52" s="249"/>
      <c r="G52" s="197" t="s">
        <v>1390</v>
      </c>
    </row>
    <row r="53" spans="1:14">
      <c r="A53" s="247">
        <v>44505</v>
      </c>
      <c r="B53" s="370">
        <v>44509</v>
      </c>
      <c r="C53" s="193" t="s">
        <v>1389</v>
      </c>
      <c r="D53" s="192">
        <v>24507</v>
      </c>
      <c r="E53" s="249">
        <v>10000000</v>
      </c>
      <c r="F53" s="249"/>
      <c r="G53" s="197" t="s">
        <v>1390</v>
      </c>
    </row>
    <row r="54" spans="1:14">
      <c r="A54" s="247">
        <v>44505</v>
      </c>
      <c r="B54" s="370">
        <v>44505</v>
      </c>
      <c r="C54" s="193" t="s">
        <v>1389</v>
      </c>
      <c r="D54" s="192">
        <v>24508</v>
      </c>
      <c r="E54" s="249">
        <v>1449895</v>
      </c>
      <c r="F54" s="249"/>
      <c r="G54" s="197" t="s">
        <v>1390</v>
      </c>
    </row>
    <row r="55" spans="1:14">
      <c r="A55" s="247">
        <v>44505</v>
      </c>
      <c r="B55" s="370">
        <v>44510</v>
      </c>
      <c r="C55" s="193" t="s">
        <v>2063</v>
      </c>
      <c r="D55" s="192">
        <v>24509</v>
      </c>
      <c r="E55" s="249">
        <v>30000</v>
      </c>
      <c r="F55" s="249"/>
      <c r="G55" s="371" t="s">
        <v>1871</v>
      </c>
    </row>
    <row r="56" spans="1:14">
      <c r="A56" s="247">
        <v>44505</v>
      </c>
      <c r="B56" s="370">
        <v>44510</v>
      </c>
      <c r="C56" s="193" t="s">
        <v>1485</v>
      </c>
      <c r="D56" s="192">
        <v>24510</v>
      </c>
      <c r="E56" s="251">
        <v>83700</v>
      </c>
      <c r="F56" s="251"/>
      <c r="G56" s="371" t="s">
        <v>21</v>
      </c>
      <c r="H56" s="129"/>
      <c r="I56" s="129"/>
      <c r="J56" s="129"/>
      <c r="K56" s="129">
        <v>9300</v>
      </c>
      <c r="L56" s="129"/>
      <c r="M56" s="129">
        <v>16740</v>
      </c>
    </row>
    <row r="57" spans="1:14">
      <c r="A57" s="247">
        <v>44508</v>
      </c>
      <c r="B57" s="370">
        <v>44508</v>
      </c>
      <c r="C57" s="193" t="s">
        <v>1389</v>
      </c>
      <c r="D57" s="192">
        <v>24511</v>
      </c>
      <c r="E57" s="249">
        <v>1857580</v>
      </c>
      <c r="F57" s="249"/>
      <c r="G57" s="197" t="s">
        <v>1390</v>
      </c>
    </row>
    <row r="58" spans="1:14">
      <c r="A58" s="247">
        <v>44508</v>
      </c>
      <c r="B58" s="370">
        <v>44510</v>
      </c>
      <c r="C58" s="193" t="s">
        <v>1255</v>
      </c>
      <c r="D58" s="192">
        <v>24512</v>
      </c>
      <c r="E58" s="249">
        <v>447750</v>
      </c>
      <c r="F58" s="249"/>
      <c r="G58" s="371" t="s">
        <v>134</v>
      </c>
      <c r="H58" s="129"/>
      <c r="I58" s="129"/>
      <c r="J58" s="129">
        <v>49750</v>
      </c>
      <c r="K58" s="129"/>
      <c r="L58" s="129"/>
      <c r="M58" s="129">
        <v>89550</v>
      </c>
    </row>
    <row r="59" spans="1:14">
      <c r="A59" s="247">
        <v>44510</v>
      </c>
      <c r="B59" s="370">
        <v>44511</v>
      </c>
      <c r="C59" s="193" t="s">
        <v>2056</v>
      </c>
      <c r="D59" s="192">
        <v>24513</v>
      </c>
      <c r="E59" s="249">
        <v>118542.18</v>
      </c>
      <c r="F59" s="249"/>
      <c r="G59" s="371" t="s">
        <v>2057</v>
      </c>
      <c r="H59" s="129"/>
      <c r="I59" s="129">
        <v>5508.47</v>
      </c>
      <c r="J59" s="129"/>
      <c r="K59" s="129"/>
      <c r="L59" s="129"/>
      <c r="M59" s="129"/>
      <c r="N59" s="129">
        <v>5949.14</v>
      </c>
    </row>
    <row r="60" spans="1:14">
      <c r="A60" s="247">
        <v>44510</v>
      </c>
      <c r="B60" s="370">
        <v>44512</v>
      </c>
      <c r="C60" s="193" t="s">
        <v>1124</v>
      </c>
      <c r="D60" s="192">
        <v>24514</v>
      </c>
      <c r="E60" s="249">
        <v>6420</v>
      </c>
      <c r="F60" s="249"/>
      <c r="G60" s="371" t="s">
        <v>1373</v>
      </c>
      <c r="H60" s="129"/>
      <c r="I60" s="129"/>
      <c r="J60" s="129"/>
      <c r="K60" s="129"/>
      <c r="L60" s="129"/>
      <c r="M60" s="129"/>
      <c r="N60" s="129"/>
    </row>
    <row r="61" spans="1:14">
      <c r="A61" s="247"/>
      <c r="B61" s="370">
        <v>44512</v>
      </c>
      <c r="C61" s="193" t="s">
        <v>2055</v>
      </c>
      <c r="D61" s="192">
        <v>24515</v>
      </c>
      <c r="E61" s="129">
        <f>3343564.49-334356.45</f>
        <v>3009208.04</v>
      </c>
      <c r="F61" s="129"/>
      <c r="G61" s="371" t="s">
        <v>134</v>
      </c>
      <c r="H61" s="129">
        <f>3343564.49-334356.45</f>
        <v>3009208.04</v>
      </c>
      <c r="I61" s="129"/>
      <c r="J61" s="129">
        <v>334356.45</v>
      </c>
      <c r="K61" s="129"/>
      <c r="L61" s="129"/>
      <c r="M61" s="129"/>
      <c r="N61" s="129"/>
    </row>
    <row r="62" spans="1:14">
      <c r="A62" s="247">
        <v>44510</v>
      </c>
      <c r="B62" s="370">
        <v>44512</v>
      </c>
      <c r="C62" s="193" t="s">
        <v>2055</v>
      </c>
      <c r="D62" s="192">
        <v>24515</v>
      </c>
      <c r="E62" s="129">
        <v>1127470.97</v>
      </c>
      <c r="F62" s="129"/>
      <c r="G62" s="371" t="s">
        <v>1388</v>
      </c>
      <c r="H62" s="129">
        <v>1127470.97</v>
      </c>
      <c r="I62" s="129"/>
      <c r="J62" s="129"/>
      <c r="K62" s="129"/>
      <c r="L62" s="129"/>
      <c r="M62" s="129"/>
      <c r="N62" s="129"/>
    </row>
    <row r="63" spans="1:14">
      <c r="A63" s="247">
        <v>44510</v>
      </c>
      <c r="B63" s="370">
        <v>44511</v>
      </c>
      <c r="C63" s="193" t="s">
        <v>1785</v>
      </c>
      <c r="D63" s="192">
        <v>24516</v>
      </c>
      <c r="E63" s="249">
        <v>962508.85</v>
      </c>
      <c r="F63" s="249"/>
      <c r="G63" s="371" t="s">
        <v>134</v>
      </c>
      <c r="H63" s="129"/>
      <c r="I63" s="129"/>
      <c r="J63" s="129">
        <v>106945.43</v>
      </c>
      <c r="K63" s="129"/>
      <c r="L63" s="129"/>
      <c r="M63" s="129"/>
      <c r="N63" s="129"/>
    </row>
    <row r="64" spans="1:14">
      <c r="A64" s="247">
        <v>44510</v>
      </c>
      <c r="B64" s="370">
        <v>44512</v>
      </c>
      <c r="C64" s="193" t="s">
        <v>1257</v>
      </c>
      <c r="D64" s="192">
        <v>24517</v>
      </c>
      <c r="E64" s="249">
        <v>3704490.37</v>
      </c>
      <c r="F64" s="249"/>
      <c r="G64" s="14" t="s">
        <v>134</v>
      </c>
      <c r="H64" s="129"/>
      <c r="I64" s="129"/>
      <c r="J64" s="129">
        <v>411610.04</v>
      </c>
      <c r="K64" s="129"/>
      <c r="L64" s="129"/>
      <c r="M64" s="129"/>
      <c r="N64" s="129"/>
    </row>
    <row r="65" spans="1:14">
      <c r="A65" s="247">
        <v>44510</v>
      </c>
      <c r="B65" s="370">
        <v>44522</v>
      </c>
      <c r="C65" s="193" t="s">
        <v>1232</v>
      </c>
      <c r="D65" s="192">
        <v>24518</v>
      </c>
      <c r="E65" s="249">
        <v>4989730</v>
      </c>
      <c r="F65" s="249"/>
      <c r="G65" s="191" t="s">
        <v>1387</v>
      </c>
      <c r="H65" s="110"/>
      <c r="I65" s="110"/>
      <c r="J65" s="110"/>
      <c r="K65" s="110"/>
      <c r="L65" s="110"/>
      <c r="M65" s="110"/>
      <c r="N65" s="110"/>
    </row>
    <row r="66" spans="1:14">
      <c r="A66" s="247">
        <v>44510</v>
      </c>
      <c r="B66" s="370">
        <v>44512</v>
      </c>
      <c r="C66" s="193" t="s">
        <v>2064</v>
      </c>
      <c r="D66" s="192">
        <v>24519</v>
      </c>
      <c r="E66" s="249">
        <v>66400</v>
      </c>
      <c r="F66" s="249"/>
      <c r="G66" s="14" t="s">
        <v>1871</v>
      </c>
      <c r="H66" s="129"/>
      <c r="I66" s="129"/>
      <c r="J66" s="129"/>
      <c r="K66" s="129"/>
      <c r="L66" s="129"/>
      <c r="M66" s="129"/>
      <c r="N66" s="129"/>
    </row>
    <row r="67" spans="1:14">
      <c r="A67" s="247">
        <v>44510</v>
      </c>
      <c r="B67" s="370">
        <v>44512</v>
      </c>
      <c r="C67" s="193" t="s">
        <v>2064</v>
      </c>
      <c r="D67" s="192">
        <v>24520</v>
      </c>
      <c r="E67" s="249">
        <v>50000</v>
      </c>
      <c r="F67" s="249"/>
      <c r="G67" s="371" t="s">
        <v>1871</v>
      </c>
      <c r="H67" s="129"/>
      <c r="I67" s="129"/>
      <c r="J67" s="129"/>
      <c r="K67" s="129"/>
      <c r="L67" s="129"/>
      <c r="M67" s="129"/>
      <c r="N67" s="129"/>
    </row>
    <row r="68" spans="1:14">
      <c r="A68" s="247">
        <v>44510</v>
      </c>
      <c r="B68" s="370">
        <v>44511</v>
      </c>
      <c r="C68" s="193" t="s">
        <v>1158</v>
      </c>
      <c r="D68" s="192">
        <v>24522</v>
      </c>
      <c r="E68" s="198">
        <v>13442.49</v>
      </c>
      <c r="F68" s="198"/>
      <c r="G68" s="197" t="s">
        <v>1892</v>
      </c>
      <c r="H68" s="198">
        <v>13442.49</v>
      </c>
    </row>
    <row r="69" spans="1:14">
      <c r="A69" s="247">
        <v>44510</v>
      </c>
      <c r="B69" s="370">
        <v>44511</v>
      </c>
      <c r="C69" s="193" t="s">
        <v>1158</v>
      </c>
      <c r="D69" s="192">
        <v>24522</v>
      </c>
      <c r="E69" s="198">
        <v>19842.09</v>
      </c>
      <c r="F69" s="198"/>
      <c r="G69" s="197" t="s">
        <v>1374</v>
      </c>
      <c r="H69" s="198">
        <v>19842.09</v>
      </c>
    </row>
    <row r="70" spans="1:14">
      <c r="A70" s="247">
        <v>44510</v>
      </c>
      <c r="B70" s="370">
        <v>44511</v>
      </c>
      <c r="C70" s="193" t="s">
        <v>1158</v>
      </c>
      <c r="D70" s="192">
        <v>24522</v>
      </c>
      <c r="E70" s="198">
        <v>7739.93</v>
      </c>
      <c r="F70" s="198"/>
      <c r="G70" s="197" t="s">
        <v>1894</v>
      </c>
      <c r="H70" s="198">
        <v>7739.93</v>
      </c>
    </row>
    <row r="71" spans="1:14">
      <c r="A71" s="247">
        <v>44510</v>
      </c>
      <c r="B71" s="370">
        <v>44511</v>
      </c>
      <c r="C71" s="193" t="s">
        <v>1158</v>
      </c>
      <c r="D71" s="192">
        <v>24522</v>
      </c>
      <c r="E71" s="198">
        <v>5580</v>
      </c>
      <c r="F71" s="198"/>
      <c r="G71" s="197" t="s">
        <v>21</v>
      </c>
      <c r="H71" s="198">
        <v>5580</v>
      </c>
    </row>
    <row r="72" spans="1:14">
      <c r="A72" s="247">
        <v>44510</v>
      </c>
      <c r="B72" s="370">
        <v>44511</v>
      </c>
      <c r="C72" s="193" t="s">
        <v>1158</v>
      </c>
      <c r="D72" s="192">
        <v>24522</v>
      </c>
      <c r="E72" s="198">
        <v>21553.83</v>
      </c>
      <c r="F72" s="198"/>
      <c r="G72" s="197" t="s">
        <v>705</v>
      </c>
      <c r="H72" s="198">
        <v>21553.83</v>
      </c>
    </row>
    <row r="73" spans="1:14">
      <c r="A73" s="247">
        <v>44510</v>
      </c>
      <c r="B73" s="370">
        <v>44511</v>
      </c>
      <c r="C73" s="193" t="s">
        <v>1158</v>
      </c>
      <c r="D73" s="192">
        <v>24522</v>
      </c>
      <c r="E73" s="198">
        <v>88200</v>
      </c>
      <c r="F73" s="198"/>
      <c r="G73" s="197" t="s">
        <v>134</v>
      </c>
      <c r="H73" s="198">
        <v>88200</v>
      </c>
    </row>
    <row r="74" spans="1:14">
      <c r="A74" s="247">
        <v>44510</v>
      </c>
      <c r="B74" s="370">
        <v>44511</v>
      </c>
      <c r="C74" s="193" t="s">
        <v>1158</v>
      </c>
      <c r="D74" s="192">
        <v>24522</v>
      </c>
      <c r="E74" s="198">
        <v>78300</v>
      </c>
      <c r="F74" s="198"/>
      <c r="G74" s="197" t="s">
        <v>102</v>
      </c>
      <c r="H74" s="198">
        <v>78300</v>
      </c>
    </row>
    <row r="75" spans="1:14">
      <c r="A75" s="247">
        <v>44510</v>
      </c>
      <c r="B75" s="370">
        <v>44511</v>
      </c>
      <c r="C75" s="193" t="s">
        <v>1158</v>
      </c>
      <c r="D75" s="192">
        <v>24522</v>
      </c>
      <c r="E75" s="198">
        <v>10610.68</v>
      </c>
      <c r="F75" s="198"/>
      <c r="G75" s="197" t="s">
        <v>1393</v>
      </c>
      <c r="H75" s="198">
        <v>10610.68</v>
      </c>
    </row>
    <row r="76" spans="1:14">
      <c r="A76" s="247">
        <v>44510</v>
      </c>
      <c r="B76" s="370">
        <v>44511</v>
      </c>
      <c r="C76" s="193" t="s">
        <v>1158</v>
      </c>
      <c r="D76" s="192">
        <v>24522</v>
      </c>
      <c r="E76" s="198">
        <v>8190</v>
      </c>
      <c r="F76" s="198"/>
      <c r="G76" s="197" t="s">
        <v>1394</v>
      </c>
      <c r="H76" s="198">
        <v>8190</v>
      </c>
    </row>
    <row r="77" spans="1:14">
      <c r="A77" s="247">
        <v>44510</v>
      </c>
      <c r="B77" s="370">
        <v>44525</v>
      </c>
      <c r="C77" s="193" t="s">
        <v>1766</v>
      </c>
      <c r="D77" s="192">
        <v>24523</v>
      </c>
      <c r="E77" s="249">
        <v>1445059.44</v>
      </c>
      <c r="F77" s="249"/>
      <c r="G77" s="191" t="s">
        <v>1387</v>
      </c>
      <c r="H77" s="110"/>
      <c r="I77" s="110">
        <v>76055.759999999995</v>
      </c>
      <c r="J77" s="110"/>
      <c r="K77" s="110"/>
      <c r="L77" s="110"/>
      <c r="M77" s="110"/>
      <c r="N77" s="110"/>
    </row>
    <row r="78" spans="1:14">
      <c r="A78" s="247">
        <v>44510</v>
      </c>
      <c r="B78" s="370">
        <v>44511</v>
      </c>
      <c r="C78" s="193" t="s">
        <v>1333</v>
      </c>
      <c r="D78" s="192">
        <v>24524</v>
      </c>
      <c r="E78" s="249">
        <v>9100000</v>
      </c>
      <c r="F78" s="249">
        <f>SUM(E66:E78)</f>
        <v>10914918.460000001</v>
      </c>
      <c r="G78" s="371" t="s">
        <v>2062</v>
      </c>
      <c r="H78" s="129"/>
      <c r="I78" s="129"/>
      <c r="J78" s="129"/>
      <c r="K78" s="129"/>
      <c r="L78" s="129"/>
      <c r="M78" s="129"/>
      <c r="N78" s="129"/>
    </row>
    <row r="79" spans="1:14">
      <c r="A79" s="247">
        <v>44510</v>
      </c>
      <c r="B79" s="370">
        <v>44512</v>
      </c>
      <c r="C79" s="193" t="s">
        <v>1821</v>
      </c>
      <c r="D79" s="192">
        <v>24526</v>
      </c>
      <c r="E79" s="249">
        <v>59626.71</v>
      </c>
      <c r="F79" s="249"/>
      <c r="G79" s="14" t="s">
        <v>102</v>
      </c>
      <c r="H79" s="129"/>
      <c r="I79" s="129">
        <v>2638.35</v>
      </c>
      <c r="J79" s="129"/>
      <c r="K79" s="129"/>
      <c r="L79" s="129"/>
      <c r="M79" s="129"/>
      <c r="N79" s="129"/>
    </row>
    <row r="80" spans="1:14">
      <c r="A80" s="247">
        <v>44510</v>
      </c>
      <c r="B80" s="370">
        <v>44512</v>
      </c>
      <c r="C80" s="193" t="s">
        <v>1725</v>
      </c>
      <c r="D80" s="192">
        <v>24527</v>
      </c>
      <c r="E80" s="249">
        <v>57630</v>
      </c>
      <c r="F80" s="249"/>
      <c r="G80" s="14" t="s">
        <v>102</v>
      </c>
      <c r="H80" s="129"/>
      <c r="I80" s="129">
        <v>2550</v>
      </c>
      <c r="J80" s="129"/>
      <c r="K80" s="129"/>
      <c r="L80" s="129"/>
      <c r="M80" s="129"/>
      <c r="N80" s="129"/>
    </row>
    <row r="81" spans="1:14">
      <c r="A81" s="247">
        <v>44510</v>
      </c>
      <c r="B81" s="370">
        <v>44517</v>
      </c>
      <c r="C81" s="193" t="s">
        <v>1066</v>
      </c>
      <c r="D81" s="192">
        <v>24528</v>
      </c>
      <c r="E81" s="249">
        <v>20336.400000000001</v>
      </c>
      <c r="F81" s="249"/>
      <c r="G81" s="371" t="s">
        <v>705</v>
      </c>
      <c r="H81" s="129"/>
      <c r="I81" s="129">
        <v>945</v>
      </c>
      <c r="J81" s="129"/>
      <c r="K81" s="129"/>
      <c r="L81" s="129"/>
      <c r="M81" s="129"/>
      <c r="N81" s="129">
        <v>1020.6</v>
      </c>
    </row>
    <row r="82" spans="1:14">
      <c r="A82" s="247">
        <v>44510</v>
      </c>
      <c r="B82" s="370">
        <v>44519</v>
      </c>
      <c r="C82" s="193" t="s">
        <v>1347</v>
      </c>
      <c r="D82" s="192">
        <v>24529</v>
      </c>
      <c r="E82" s="249">
        <v>1711129.13</v>
      </c>
      <c r="F82" s="249"/>
      <c r="G82" s="191" t="s">
        <v>120</v>
      </c>
      <c r="H82" s="110"/>
      <c r="I82" s="110">
        <v>75713.679999999993</v>
      </c>
      <c r="J82" s="110"/>
      <c r="K82" s="110"/>
      <c r="L82" s="110"/>
      <c r="M82" s="110"/>
      <c r="N82" s="110"/>
    </row>
    <row r="83" spans="1:14">
      <c r="A83" s="247">
        <v>44510</v>
      </c>
      <c r="B83" s="370">
        <v>44519</v>
      </c>
      <c r="C83" s="193" t="s">
        <v>1347</v>
      </c>
      <c r="D83" s="192">
        <v>24530</v>
      </c>
      <c r="E83" s="249">
        <v>125339.6</v>
      </c>
      <c r="F83" s="249">
        <f>SUM(E81:E83)</f>
        <v>1856805.13</v>
      </c>
      <c r="G83" s="191" t="s">
        <v>120</v>
      </c>
      <c r="H83" s="110"/>
      <c r="I83" s="110">
        <v>5546</v>
      </c>
      <c r="J83" s="110"/>
      <c r="K83" s="110"/>
      <c r="L83" s="110"/>
      <c r="M83" s="110"/>
      <c r="N83" s="110"/>
    </row>
    <row r="84" spans="1:14">
      <c r="A84" s="247">
        <v>44510</v>
      </c>
      <c r="B84" s="370">
        <v>44517</v>
      </c>
      <c r="C84" s="193" t="s">
        <v>2060</v>
      </c>
      <c r="D84" s="192">
        <v>24531</v>
      </c>
      <c r="E84" s="249">
        <v>94920</v>
      </c>
      <c r="F84" s="249"/>
      <c r="G84" s="371" t="s">
        <v>962</v>
      </c>
      <c r="H84" s="129"/>
      <c r="I84" s="129">
        <v>4200</v>
      </c>
      <c r="J84" s="129"/>
      <c r="K84" s="129"/>
      <c r="L84" s="129"/>
      <c r="M84" s="129"/>
      <c r="N84" s="129"/>
    </row>
    <row r="85" spans="1:14">
      <c r="A85" s="247">
        <v>44510</v>
      </c>
      <c r="B85" s="370">
        <v>44517</v>
      </c>
      <c r="C85" s="193" t="s">
        <v>2080</v>
      </c>
      <c r="D85" s="192">
        <v>24532</v>
      </c>
      <c r="E85" s="249">
        <v>179624.13</v>
      </c>
      <c r="F85" s="249"/>
      <c r="G85" s="371" t="s">
        <v>1388</v>
      </c>
      <c r="H85" s="110"/>
      <c r="I85" s="110"/>
      <c r="J85" s="110"/>
      <c r="K85" s="110"/>
      <c r="L85" s="110"/>
      <c r="M85" s="110"/>
      <c r="N85" s="110"/>
    </row>
    <row r="86" spans="1:14">
      <c r="A86" s="247">
        <v>44510</v>
      </c>
      <c r="B86" s="370">
        <v>44517</v>
      </c>
      <c r="C86" s="193" t="s">
        <v>1906</v>
      </c>
      <c r="D86" s="192">
        <v>24533</v>
      </c>
      <c r="E86" s="249">
        <v>886579.19999999995</v>
      </c>
      <c r="F86" s="249"/>
      <c r="G86" s="371" t="s">
        <v>1387</v>
      </c>
      <c r="H86" s="129"/>
      <c r="I86" s="129">
        <v>39936</v>
      </c>
      <c r="J86" s="129"/>
      <c r="K86" s="129"/>
      <c r="L86" s="129"/>
      <c r="M86" s="129"/>
      <c r="N86" s="129"/>
    </row>
    <row r="87" spans="1:14">
      <c r="A87" s="247">
        <v>44510</v>
      </c>
      <c r="B87" s="370">
        <v>44512</v>
      </c>
      <c r="C87" s="193" t="s">
        <v>1112</v>
      </c>
      <c r="D87" s="192">
        <v>24534</v>
      </c>
      <c r="E87" s="249">
        <v>127800.07</v>
      </c>
      <c r="F87" s="249"/>
      <c r="G87" s="371" t="s">
        <v>1374</v>
      </c>
      <c r="H87" s="129"/>
      <c r="I87" s="129">
        <v>5938.66</v>
      </c>
      <c r="J87" s="129"/>
      <c r="K87" s="129"/>
      <c r="L87" s="129"/>
      <c r="M87" s="129"/>
      <c r="N87" s="129">
        <v>6413.76</v>
      </c>
    </row>
    <row r="88" spans="1:14">
      <c r="A88" s="247">
        <v>44510</v>
      </c>
      <c r="B88" s="370">
        <v>44519</v>
      </c>
      <c r="C88" s="193" t="s">
        <v>2049</v>
      </c>
      <c r="D88" s="192">
        <v>24535</v>
      </c>
      <c r="E88" s="110">
        <f>773999.97-32796.61</f>
        <v>741203.36</v>
      </c>
      <c r="F88" s="129"/>
      <c r="G88" s="191" t="s">
        <v>1372</v>
      </c>
      <c r="H88" s="332">
        <f>773999.97-32796.61</f>
        <v>741203.36</v>
      </c>
      <c r="I88" s="110">
        <v>32796.61</v>
      </c>
      <c r="J88" s="110"/>
      <c r="K88" s="110"/>
      <c r="L88" s="110"/>
      <c r="M88" s="110"/>
      <c r="N88" s="110"/>
    </row>
    <row r="89" spans="1:14">
      <c r="A89" s="247">
        <v>44510</v>
      </c>
      <c r="B89" s="370">
        <v>44519</v>
      </c>
      <c r="C89" s="193" t="s">
        <v>2049</v>
      </c>
      <c r="D89" s="192">
        <v>24535</v>
      </c>
      <c r="E89" s="110">
        <f>103821.12-4399.2</f>
        <v>99421.92</v>
      </c>
      <c r="F89" s="129"/>
      <c r="G89" s="191" t="s">
        <v>962</v>
      </c>
      <c r="H89" s="110">
        <f>103821.12-4399.2</f>
        <v>99421.92</v>
      </c>
      <c r="I89" s="110">
        <v>4399.2</v>
      </c>
      <c r="J89" s="110"/>
      <c r="K89" s="110"/>
      <c r="L89" s="110"/>
      <c r="M89" s="110"/>
      <c r="N89" s="110"/>
    </row>
    <row r="90" spans="1:14">
      <c r="A90" s="247">
        <v>44510</v>
      </c>
      <c r="B90" s="370">
        <v>44517</v>
      </c>
      <c r="C90" s="193" t="s">
        <v>2061</v>
      </c>
      <c r="D90" s="192">
        <v>24536</v>
      </c>
      <c r="E90" s="249">
        <v>733987.5</v>
      </c>
      <c r="F90" s="249"/>
      <c r="G90" s="371" t="s">
        <v>1387</v>
      </c>
      <c r="H90" s="129"/>
      <c r="I90" s="129">
        <v>33062.5</v>
      </c>
    </row>
    <row r="91" spans="1:14">
      <c r="A91" s="247">
        <v>44510</v>
      </c>
      <c r="B91" s="370">
        <v>44517</v>
      </c>
      <c r="C91" s="193" t="s">
        <v>1906</v>
      </c>
      <c r="D91" s="192">
        <v>24538</v>
      </c>
      <c r="E91" s="249">
        <v>710001.6</v>
      </c>
      <c r="F91" s="249"/>
      <c r="G91" s="371" t="s">
        <v>1387</v>
      </c>
      <c r="H91" s="129"/>
      <c r="I91" s="129">
        <v>31416</v>
      </c>
    </row>
    <row r="92" spans="1:14">
      <c r="A92" s="247">
        <v>44510</v>
      </c>
      <c r="B92" s="370">
        <v>44517</v>
      </c>
      <c r="C92" s="193" t="s">
        <v>1906</v>
      </c>
      <c r="D92" s="192">
        <v>24540</v>
      </c>
      <c r="E92" s="249">
        <v>796107.6</v>
      </c>
      <c r="F92" s="249"/>
      <c r="G92" s="371" t="s">
        <v>1387</v>
      </c>
      <c r="H92" s="129"/>
      <c r="I92" s="129">
        <v>35226</v>
      </c>
    </row>
    <row r="93" spans="1:14">
      <c r="A93" s="247">
        <v>44510</v>
      </c>
      <c r="B93" s="370">
        <v>44512</v>
      </c>
      <c r="C93" s="193" t="s">
        <v>1158</v>
      </c>
      <c r="D93" s="333">
        <v>24541</v>
      </c>
      <c r="E93" s="249">
        <v>2660310.79</v>
      </c>
      <c r="F93" s="249">
        <f>+E93+E92</f>
        <v>3456418.39</v>
      </c>
      <c r="G93" s="14" t="s">
        <v>1395</v>
      </c>
      <c r="H93" s="129"/>
      <c r="I93" s="129"/>
    </row>
    <row r="94" spans="1:14">
      <c r="A94" s="247">
        <v>44510</v>
      </c>
      <c r="B94" s="370">
        <v>44512</v>
      </c>
      <c r="C94" s="193" t="s">
        <v>1332</v>
      </c>
      <c r="D94" s="192">
        <v>24543</v>
      </c>
      <c r="E94" s="249">
        <v>761267.69</v>
      </c>
      <c r="F94" s="249"/>
      <c r="G94" s="14" t="s">
        <v>597</v>
      </c>
      <c r="H94" s="129"/>
      <c r="I94" s="129">
        <v>31711.66</v>
      </c>
    </row>
    <row r="95" spans="1:14">
      <c r="A95" s="247">
        <v>44510</v>
      </c>
      <c r="B95" s="370">
        <v>44512</v>
      </c>
      <c r="C95" s="193" t="s">
        <v>1319</v>
      </c>
      <c r="D95" s="192">
        <v>24545</v>
      </c>
      <c r="E95" s="249">
        <v>683447.4</v>
      </c>
      <c r="F95" s="249"/>
      <c r="G95" s="14" t="s">
        <v>1380</v>
      </c>
      <c r="H95" s="129"/>
      <c r="I95" s="129">
        <v>35970.92</v>
      </c>
    </row>
    <row r="96" spans="1:14">
      <c r="A96" s="247">
        <v>44510</v>
      </c>
      <c r="B96" s="370">
        <v>44518</v>
      </c>
      <c r="C96" s="193" t="s">
        <v>1117</v>
      </c>
      <c r="D96" s="192">
        <v>24546</v>
      </c>
      <c r="E96" s="110">
        <v>1000</v>
      </c>
      <c r="F96" s="129"/>
      <c r="G96" s="191" t="s">
        <v>1377</v>
      </c>
      <c r="H96" s="110">
        <v>1000</v>
      </c>
    </row>
    <row r="97" spans="1:9">
      <c r="A97" s="247">
        <v>44510</v>
      </c>
      <c r="B97" s="370">
        <v>44518</v>
      </c>
      <c r="C97" s="193" t="s">
        <v>1117</v>
      </c>
      <c r="D97" s="192">
        <v>24546</v>
      </c>
      <c r="E97" s="110">
        <v>58920</v>
      </c>
      <c r="F97" s="129"/>
      <c r="G97" s="191" t="s">
        <v>162</v>
      </c>
      <c r="H97" s="110">
        <v>58920</v>
      </c>
    </row>
    <row r="98" spans="1:9">
      <c r="A98" s="247">
        <v>44510</v>
      </c>
      <c r="B98" s="370">
        <v>44518</v>
      </c>
      <c r="C98" s="193" t="s">
        <v>1117</v>
      </c>
      <c r="D98" s="192">
        <v>24546</v>
      </c>
      <c r="E98" s="110">
        <v>33501.54</v>
      </c>
      <c r="F98" s="129"/>
      <c r="G98" s="191" t="s">
        <v>1383</v>
      </c>
      <c r="H98" s="110">
        <v>33501.54</v>
      </c>
    </row>
    <row r="99" spans="1:9">
      <c r="A99" s="247">
        <v>44510</v>
      </c>
      <c r="B99" s="370">
        <v>44518</v>
      </c>
      <c r="C99" s="193" t="s">
        <v>1117</v>
      </c>
      <c r="D99" s="192">
        <v>24546</v>
      </c>
      <c r="E99" s="110">
        <v>7506.21</v>
      </c>
      <c r="F99" s="129"/>
      <c r="G99" s="191" t="s">
        <v>2057</v>
      </c>
      <c r="H99" s="110">
        <v>7506.21</v>
      </c>
    </row>
    <row r="100" spans="1:9">
      <c r="A100" s="247">
        <v>44510</v>
      </c>
      <c r="B100" s="370">
        <v>44519</v>
      </c>
      <c r="C100" s="193" t="s">
        <v>2050</v>
      </c>
      <c r="D100" s="192">
        <v>24548</v>
      </c>
      <c r="E100" s="249">
        <v>894960</v>
      </c>
      <c r="F100" s="249"/>
      <c r="G100" s="191" t="s">
        <v>1372</v>
      </c>
      <c r="H100" s="110"/>
      <c r="I100" s="110">
        <v>39600</v>
      </c>
    </row>
    <row r="101" spans="1:9">
      <c r="A101" s="247">
        <v>44510</v>
      </c>
      <c r="B101" s="370">
        <v>44512</v>
      </c>
      <c r="C101" s="193" t="s">
        <v>1158</v>
      </c>
      <c r="D101" s="192">
        <v>24549</v>
      </c>
      <c r="E101" s="110">
        <v>82033.84</v>
      </c>
      <c r="F101" s="129"/>
      <c r="G101" s="117" t="s">
        <v>1372</v>
      </c>
      <c r="H101" s="110">
        <v>82033.84</v>
      </c>
      <c r="I101" s="110"/>
    </row>
    <row r="102" spans="1:9">
      <c r="A102" s="247">
        <v>44510</v>
      </c>
      <c r="B102" s="370">
        <v>44512</v>
      </c>
      <c r="C102" s="193" t="s">
        <v>1158</v>
      </c>
      <c r="D102" s="192">
        <v>24549</v>
      </c>
      <c r="E102" s="110">
        <v>12446.75</v>
      </c>
      <c r="F102" s="129">
        <f>+E102+E101</f>
        <v>94480.59</v>
      </c>
      <c r="G102" s="197" t="s">
        <v>1892</v>
      </c>
      <c r="H102" s="110">
        <v>12446.75</v>
      </c>
      <c r="I102" s="110"/>
    </row>
    <row r="103" spans="1:9">
      <c r="A103" s="247">
        <v>44510</v>
      </c>
      <c r="B103" s="370">
        <v>44512</v>
      </c>
      <c r="C103" s="193" t="s">
        <v>1158</v>
      </c>
      <c r="D103" s="192">
        <v>24549</v>
      </c>
      <c r="E103" s="198">
        <v>18372.3</v>
      </c>
      <c r="F103" s="198">
        <f>SUM(E101:E103)</f>
        <v>112852.89</v>
      </c>
      <c r="G103" s="197" t="s">
        <v>1374</v>
      </c>
      <c r="H103" s="198">
        <v>18372.3</v>
      </c>
      <c r="I103" s="110"/>
    </row>
    <row r="104" spans="1:9">
      <c r="A104" s="247">
        <v>44510</v>
      </c>
      <c r="B104" s="370">
        <v>44512</v>
      </c>
      <c r="C104" s="193" t="s">
        <v>1158</v>
      </c>
      <c r="D104" s="192">
        <v>24549</v>
      </c>
      <c r="E104" s="198">
        <v>7166.6</v>
      </c>
      <c r="F104" s="198"/>
      <c r="G104" s="197" t="s">
        <v>1894</v>
      </c>
      <c r="H104" s="198">
        <v>7166.6</v>
      </c>
      <c r="I104" s="110"/>
    </row>
    <row r="105" spans="1:9">
      <c r="A105" s="247">
        <v>44510</v>
      </c>
      <c r="B105" s="370">
        <v>44512</v>
      </c>
      <c r="C105" s="193" t="s">
        <v>1158</v>
      </c>
      <c r="D105" s="192">
        <v>24549</v>
      </c>
      <c r="E105" s="110">
        <v>3100</v>
      </c>
      <c r="F105" s="129">
        <f>SUM(E103:E105)</f>
        <v>28638.9</v>
      </c>
      <c r="G105" s="117" t="s">
        <v>21</v>
      </c>
      <c r="H105" s="110">
        <v>3100</v>
      </c>
      <c r="I105" s="110"/>
    </row>
    <row r="106" spans="1:9">
      <c r="A106" s="247">
        <v>44510</v>
      </c>
      <c r="B106" s="370">
        <v>44512</v>
      </c>
      <c r="C106" s="193" t="s">
        <v>1158</v>
      </c>
      <c r="D106" s="192">
        <v>24549</v>
      </c>
      <c r="E106" s="198">
        <v>8073</v>
      </c>
      <c r="F106" s="198"/>
      <c r="G106" s="197" t="s">
        <v>1377</v>
      </c>
      <c r="H106" s="198">
        <v>8073</v>
      </c>
      <c r="I106" s="110"/>
    </row>
    <row r="107" spans="1:9">
      <c r="A107" s="247">
        <v>44510</v>
      </c>
      <c r="B107" s="370">
        <v>44512</v>
      </c>
      <c r="C107" s="193" t="s">
        <v>1158</v>
      </c>
      <c r="D107" s="192">
        <v>24549</v>
      </c>
      <c r="E107" s="110">
        <v>13448.91</v>
      </c>
      <c r="F107" s="129"/>
      <c r="G107" s="117" t="s">
        <v>1898</v>
      </c>
      <c r="H107" s="110">
        <v>13448.91</v>
      </c>
      <c r="I107" s="110"/>
    </row>
    <row r="108" spans="1:9">
      <c r="A108" s="247">
        <v>44510</v>
      </c>
      <c r="B108" s="370">
        <v>44512</v>
      </c>
      <c r="C108" s="193" t="s">
        <v>1158</v>
      </c>
      <c r="D108" s="192">
        <v>24549</v>
      </c>
      <c r="E108" s="198">
        <v>37143.919999999998</v>
      </c>
      <c r="F108" s="198"/>
      <c r="G108" s="197" t="s">
        <v>1380</v>
      </c>
      <c r="H108" s="198">
        <v>37143.919999999998</v>
      </c>
      <c r="I108" s="110"/>
    </row>
    <row r="109" spans="1:9">
      <c r="A109" s="247">
        <v>44510</v>
      </c>
      <c r="B109" s="370">
        <v>44512</v>
      </c>
      <c r="C109" s="193" t="s">
        <v>1158</v>
      </c>
      <c r="D109" s="192">
        <v>24549</v>
      </c>
      <c r="E109" s="198">
        <v>19957.25</v>
      </c>
      <c r="F109" s="198"/>
      <c r="G109" s="197" t="s">
        <v>705</v>
      </c>
      <c r="H109" s="198">
        <v>19957.25</v>
      </c>
      <c r="I109" s="110"/>
    </row>
    <row r="110" spans="1:9">
      <c r="A110" s="247">
        <v>44510</v>
      </c>
      <c r="B110" s="370">
        <v>44512</v>
      </c>
      <c r="C110" s="193" t="s">
        <v>1158</v>
      </c>
      <c r="D110" s="192">
        <v>24549</v>
      </c>
      <c r="E110" s="110">
        <v>1307352.8999999999</v>
      </c>
      <c r="F110" s="129"/>
      <c r="G110" s="117" t="s">
        <v>1868</v>
      </c>
      <c r="H110" s="110">
        <v>1307352.8999999999</v>
      </c>
      <c r="I110" s="110"/>
    </row>
    <row r="111" spans="1:9">
      <c r="A111" s="247">
        <v>44510</v>
      </c>
      <c r="B111" s="370">
        <v>44512</v>
      </c>
      <c r="C111" s="193" t="s">
        <v>1158</v>
      </c>
      <c r="D111" s="192">
        <v>24549</v>
      </c>
      <c r="E111" s="110">
        <v>242376.89</v>
      </c>
      <c r="F111" s="129">
        <f>SUM(E106:E111)</f>
        <v>1628352.87</v>
      </c>
      <c r="G111" s="191" t="s">
        <v>134</v>
      </c>
      <c r="H111" s="110">
        <v>242376.89</v>
      </c>
      <c r="I111" s="110"/>
    </row>
    <row r="112" spans="1:9">
      <c r="A112" s="247">
        <v>44510</v>
      </c>
      <c r="B112" s="370">
        <v>44512</v>
      </c>
      <c r="C112" s="193" t="s">
        <v>1158</v>
      </c>
      <c r="D112" s="192">
        <v>24549</v>
      </c>
      <c r="E112" s="110">
        <v>38394.800000000003</v>
      </c>
      <c r="F112" s="129"/>
      <c r="G112" s="117" t="s">
        <v>1902</v>
      </c>
      <c r="H112" s="110">
        <v>38394.800000000003</v>
      </c>
      <c r="I112" s="110"/>
    </row>
    <row r="113" spans="1:14">
      <c r="A113" s="247">
        <v>44510</v>
      </c>
      <c r="B113" s="370">
        <v>44512</v>
      </c>
      <c r="C113" s="193" t="s">
        <v>1158</v>
      </c>
      <c r="D113" s="192">
        <v>24549</v>
      </c>
      <c r="E113" s="110">
        <v>10244.59</v>
      </c>
      <c r="F113" s="129"/>
      <c r="G113" s="117" t="s">
        <v>962</v>
      </c>
      <c r="H113" s="110">
        <v>10244.59</v>
      </c>
      <c r="I113" s="110"/>
    </row>
    <row r="114" spans="1:14">
      <c r="A114" s="247">
        <v>44510</v>
      </c>
      <c r="B114" s="370">
        <v>44512</v>
      </c>
      <c r="C114" s="193" t="s">
        <v>1158</v>
      </c>
      <c r="D114" s="192">
        <v>24549</v>
      </c>
      <c r="E114" s="110">
        <v>186589.45</v>
      </c>
      <c r="F114" s="129"/>
      <c r="G114" s="117" t="s">
        <v>1387</v>
      </c>
      <c r="H114" s="110">
        <v>186589.45</v>
      </c>
      <c r="I114" s="110"/>
    </row>
    <row r="115" spans="1:14">
      <c r="A115" s="247">
        <v>44510</v>
      </c>
      <c r="B115" s="370">
        <v>44512</v>
      </c>
      <c r="C115" s="193" t="s">
        <v>1158</v>
      </c>
      <c r="D115" s="192">
        <v>24549</v>
      </c>
      <c r="E115" s="110">
        <v>253149.15</v>
      </c>
      <c r="F115" s="129"/>
      <c r="G115" s="117" t="s">
        <v>102</v>
      </c>
      <c r="H115" s="110">
        <v>253149.15</v>
      </c>
      <c r="I115" s="110"/>
    </row>
    <row r="116" spans="1:14">
      <c r="A116" s="247">
        <v>44510</v>
      </c>
      <c r="B116" s="370">
        <v>44512</v>
      </c>
      <c r="C116" s="193" t="s">
        <v>1158</v>
      </c>
      <c r="D116" s="192">
        <v>24549</v>
      </c>
      <c r="E116" s="110">
        <v>27850.04</v>
      </c>
      <c r="F116" s="129"/>
      <c r="G116" s="117" t="s">
        <v>1392</v>
      </c>
      <c r="H116" s="110">
        <v>27850.04</v>
      </c>
      <c r="I116" s="110"/>
    </row>
    <row r="117" spans="1:14">
      <c r="A117" s="247">
        <v>44510</v>
      </c>
      <c r="B117" s="370">
        <v>44512</v>
      </c>
      <c r="C117" s="193" t="s">
        <v>1158</v>
      </c>
      <c r="D117" s="192">
        <v>24549</v>
      </c>
      <c r="E117" s="110">
        <v>9824.7000000000007</v>
      </c>
      <c r="F117" s="129"/>
      <c r="G117" s="117" t="s">
        <v>1393</v>
      </c>
      <c r="H117" s="110">
        <v>9824.7000000000007</v>
      </c>
      <c r="I117" s="110"/>
    </row>
    <row r="118" spans="1:14">
      <c r="A118" s="247">
        <v>44510</v>
      </c>
      <c r="B118" s="370">
        <v>44512</v>
      </c>
      <c r="C118" s="193" t="s">
        <v>1158</v>
      </c>
      <c r="D118" s="192">
        <v>24549</v>
      </c>
      <c r="E118" s="332">
        <v>20250</v>
      </c>
      <c r="F118" s="372">
        <f>+E118+E117</f>
        <v>30074.7</v>
      </c>
      <c r="G118" s="117" t="s">
        <v>1394</v>
      </c>
      <c r="H118" s="332">
        <v>20250</v>
      </c>
    </row>
    <row r="119" spans="1:14">
      <c r="A119" s="247">
        <v>44510</v>
      </c>
      <c r="B119" s="370">
        <v>44517</v>
      </c>
      <c r="C119" s="193" t="s">
        <v>1906</v>
      </c>
      <c r="D119" s="192">
        <v>24550</v>
      </c>
      <c r="E119" s="249">
        <v>719978.4</v>
      </c>
      <c r="F119" s="249"/>
      <c r="G119" s="371" t="s">
        <v>1387</v>
      </c>
      <c r="H119" s="129"/>
      <c r="I119" s="129">
        <v>37893.599999999999</v>
      </c>
      <c r="J119" s="129"/>
      <c r="K119" s="129"/>
      <c r="L119" s="129"/>
      <c r="M119" s="129"/>
      <c r="N119" s="129"/>
    </row>
    <row r="120" spans="1:14">
      <c r="A120" s="247">
        <v>44510</v>
      </c>
      <c r="B120" s="370">
        <v>44522</v>
      </c>
      <c r="C120" s="193" t="s">
        <v>1389</v>
      </c>
      <c r="D120" s="192">
        <v>24551</v>
      </c>
      <c r="E120" s="249">
        <v>5000000</v>
      </c>
      <c r="F120" s="249"/>
      <c r="G120" s="191" t="s">
        <v>1390</v>
      </c>
      <c r="H120" s="110"/>
      <c r="I120" s="110"/>
      <c r="J120" s="110"/>
      <c r="K120" s="110"/>
      <c r="L120" s="110"/>
      <c r="M120" s="110"/>
      <c r="N120" s="110"/>
    </row>
    <row r="121" spans="1:14">
      <c r="A121" s="247">
        <v>44510</v>
      </c>
      <c r="B121" s="370">
        <v>44522</v>
      </c>
      <c r="C121" s="193" t="s">
        <v>1389</v>
      </c>
      <c r="D121" s="192">
        <v>24552</v>
      </c>
      <c r="E121" s="249">
        <v>5000000</v>
      </c>
      <c r="F121" s="249"/>
      <c r="G121" s="191" t="s">
        <v>1390</v>
      </c>
      <c r="H121" s="110"/>
      <c r="I121" s="110"/>
      <c r="J121" s="110"/>
      <c r="K121" s="110"/>
      <c r="L121" s="110"/>
      <c r="M121" s="110"/>
      <c r="N121" s="110"/>
    </row>
    <row r="122" spans="1:14">
      <c r="A122" s="247">
        <v>44510</v>
      </c>
      <c r="B122" s="370">
        <v>44522</v>
      </c>
      <c r="C122" s="193" t="s">
        <v>1389</v>
      </c>
      <c r="D122" s="192">
        <v>24553</v>
      </c>
      <c r="E122" s="249">
        <v>5000000</v>
      </c>
      <c r="F122" s="249"/>
      <c r="G122" s="191" t="s">
        <v>1390</v>
      </c>
      <c r="H122" s="110"/>
      <c r="I122" s="110"/>
      <c r="J122" s="110"/>
      <c r="K122" s="110"/>
      <c r="L122" s="110"/>
      <c r="M122" s="110"/>
      <c r="N122" s="110"/>
    </row>
    <row r="123" spans="1:14">
      <c r="A123" s="247">
        <v>44510</v>
      </c>
      <c r="B123" s="370">
        <v>44522</v>
      </c>
      <c r="C123" s="193" t="s">
        <v>1389</v>
      </c>
      <c r="D123" s="192">
        <v>24554</v>
      </c>
      <c r="E123" s="249">
        <v>5000000</v>
      </c>
      <c r="F123" s="249"/>
      <c r="G123" s="191" t="s">
        <v>1390</v>
      </c>
      <c r="H123" s="110"/>
      <c r="I123" s="110"/>
      <c r="J123" s="110"/>
      <c r="K123" s="110"/>
      <c r="L123" s="110"/>
      <c r="M123" s="110"/>
      <c r="N123" s="110"/>
    </row>
    <row r="124" spans="1:14">
      <c r="A124" s="247">
        <v>44510</v>
      </c>
      <c r="B124" s="370">
        <v>44522</v>
      </c>
      <c r="C124" s="193" t="s">
        <v>1389</v>
      </c>
      <c r="D124" s="192">
        <v>24555</v>
      </c>
      <c r="E124" s="249">
        <v>300000</v>
      </c>
      <c r="F124" s="249"/>
      <c r="G124" s="191" t="s">
        <v>1390</v>
      </c>
      <c r="H124" s="110"/>
      <c r="I124" s="110"/>
      <c r="J124" s="110"/>
      <c r="K124" s="110"/>
      <c r="L124" s="110"/>
      <c r="M124" s="110"/>
      <c r="N124" s="110"/>
    </row>
    <row r="125" spans="1:14">
      <c r="A125" s="247">
        <v>44510</v>
      </c>
      <c r="B125" s="370">
        <v>44511</v>
      </c>
      <c r="C125" s="193" t="s">
        <v>1389</v>
      </c>
      <c r="D125" s="192">
        <v>24556</v>
      </c>
      <c r="E125" s="249">
        <v>1591865</v>
      </c>
      <c r="F125" s="249"/>
      <c r="G125" s="371" t="s">
        <v>1390</v>
      </c>
      <c r="H125" s="129"/>
      <c r="I125" s="129"/>
      <c r="J125" s="129"/>
      <c r="K125" s="129"/>
      <c r="L125" s="129"/>
      <c r="M125" s="129"/>
      <c r="N125" s="129"/>
    </row>
    <row r="126" spans="1:14">
      <c r="A126" s="247">
        <v>44511</v>
      </c>
      <c r="B126" s="370">
        <v>44516</v>
      </c>
      <c r="C126" s="193" t="s">
        <v>1334</v>
      </c>
      <c r="D126" s="192">
        <v>24557</v>
      </c>
      <c r="E126" s="249">
        <v>27938.57</v>
      </c>
      <c r="F126" s="249"/>
      <c r="G126" s="197" t="s">
        <v>1380</v>
      </c>
      <c r="H126" s="129"/>
      <c r="I126" s="129">
        <v>1470.45</v>
      </c>
      <c r="J126" s="129"/>
      <c r="K126" s="129"/>
      <c r="L126" s="129"/>
      <c r="M126" s="129"/>
      <c r="N126" s="129"/>
    </row>
    <row r="127" spans="1:14">
      <c r="A127" s="247">
        <v>44511</v>
      </c>
      <c r="B127" s="370">
        <v>44516</v>
      </c>
      <c r="C127" s="193" t="s">
        <v>1381</v>
      </c>
      <c r="D127" s="192">
        <v>24558</v>
      </c>
      <c r="E127" s="249">
        <v>20580.009999999998</v>
      </c>
      <c r="F127" s="249">
        <f>SUM(E124:E127)</f>
        <v>1940383.58</v>
      </c>
      <c r="G127" s="197" t="s">
        <v>1380</v>
      </c>
      <c r="H127" s="129"/>
      <c r="I127" s="129">
        <v>1083.1600000000001</v>
      </c>
      <c r="J127" s="129"/>
      <c r="K127" s="129"/>
      <c r="L127" s="129"/>
      <c r="M127" s="129"/>
      <c r="N127" s="129"/>
    </row>
    <row r="128" spans="1:14">
      <c r="A128" s="247">
        <v>44511</v>
      </c>
      <c r="B128" s="370">
        <v>44517</v>
      </c>
      <c r="C128" s="193" t="s">
        <v>2081</v>
      </c>
      <c r="D128" s="192">
        <v>24559</v>
      </c>
      <c r="E128" s="249">
        <v>111756.35</v>
      </c>
      <c r="F128" s="249"/>
      <c r="G128" s="371" t="s">
        <v>1388</v>
      </c>
      <c r="H128" s="129"/>
      <c r="I128" s="129"/>
      <c r="J128" s="129"/>
      <c r="K128" s="129"/>
      <c r="L128" s="129"/>
      <c r="M128" s="129"/>
      <c r="N128" s="129"/>
    </row>
    <row r="129" spans="1:14">
      <c r="A129" s="247">
        <v>44511</v>
      </c>
      <c r="B129" s="370">
        <v>44519</v>
      </c>
      <c r="C129" s="193" t="s">
        <v>2082</v>
      </c>
      <c r="D129" s="192">
        <v>24560</v>
      </c>
      <c r="E129" s="249">
        <v>52177.35</v>
      </c>
      <c r="F129" s="249"/>
      <c r="G129" s="371" t="s">
        <v>1388</v>
      </c>
      <c r="H129" s="129"/>
      <c r="I129" s="129"/>
      <c r="J129" s="129"/>
      <c r="K129" s="129"/>
      <c r="L129" s="129"/>
      <c r="M129" s="129"/>
      <c r="N129" s="129"/>
    </row>
    <row r="130" spans="1:14">
      <c r="A130" s="247">
        <v>44511</v>
      </c>
      <c r="B130" s="370">
        <v>44517</v>
      </c>
      <c r="C130" s="193" t="s">
        <v>2083</v>
      </c>
      <c r="D130" s="192">
        <v>24561</v>
      </c>
      <c r="E130" s="249">
        <v>52177.35</v>
      </c>
      <c r="F130" s="249"/>
      <c r="G130" s="371" t="s">
        <v>1388</v>
      </c>
      <c r="H130" s="129"/>
      <c r="I130" s="129"/>
      <c r="J130" s="129"/>
      <c r="K130" s="129"/>
      <c r="L130" s="129"/>
      <c r="M130" s="129"/>
      <c r="N130" s="129"/>
    </row>
    <row r="131" spans="1:14">
      <c r="A131" s="247">
        <v>44511</v>
      </c>
      <c r="B131" s="370">
        <v>44517</v>
      </c>
      <c r="C131" s="193" t="s">
        <v>2084</v>
      </c>
      <c r="D131" s="192">
        <v>24562</v>
      </c>
      <c r="E131" s="249">
        <v>71160.210000000006</v>
      </c>
      <c r="F131" s="249"/>
      <c r="G131" s="371" t="s">
        <v>1388</v>
      </c>
      <c r="H131" s="129"/>
      <c r="I131" s="129"/>
      <c r="J131" s="129"/>
      <c r="K131" s="129"/>
      <c r="L131" s="129"/>
      <c r="M131" s="129"/>
      <c r="N131" s="129"/>
    </row>
    <row r="132" spans="1:14">
      <c r="A132" s="247">
        <v>44511</v>
      </c>
      <c r="B132" s="370">
        <v>44517</v>
      </c>
      <c r="C132" s="193" t="s">
        <v>2085</v>
      </c>
      <c r="D132" s="192">
        <v>24563</v>
      </c>
      <c r="E132" s="249">
        <v>88458.7</v>
      </c>
      <c r="F132" s="249"/>
      <c r="G132" s="371" t="s">
        <v>1388</v>
      </c>
      <c r="H132" s="129"/>
      <c r="I132" s="129"/>
      <c r="J132" s="129"/>
      <c r="K132" s="129"/>
      <c r="L132" s="129"/>
      <c r="M132" s="129"/>
      <c r="N132" s="129"/>
    </row>
    <row r="133" spans="1:14">
      <c r="A133" s="247">
        <v>44511</v>
      </c>
      <c r="B133" s="370">
        <v>44517</v>
      </c>
      <c r="C133" s="193" t="s">
        <v>2086</v>
      </c>
      <c r="D133" s="192">
        <v>24564</v>
      </c>
      <c r="E133" s="249">
        <v>27688.05</v>
      </c>
      <c r="F133" s="249"/>
      <c r="G133" s="191" t="s">
        <v>1388</v>
      </c>
      <c r="H133" s="110"/>
      <c r="I133" s="110"/>
      <c r="J133" s="110"/>
      <c r="K133" s="110"/>
      <c r="L133" s="110"/>
      <c r="M133" s="110"/>
      <c r="N133" s="110"/>
    </row>
    <row r="134" spans="1:14">
      <c r="A134" s="247">
        <v>44511</v>
      </c>
      <c r="B134" s="370">
        <v>44517</v>
      </c>
      <c r="C134" s="193" t="s">
        <v>2087</v>
      </c>
      <c r="D134" s="192">
        <v>24565</v>
      </c>
      <c r="E134" s="249">
        <v>52177.35</v>
      </c>
      <c r="F134" s="249"/>
      <c r="G134" s="371" t="s">
        <v>1388</v>
      </c>
      <c r="H134" s="110"/>
      <c r="I134" s="110"/>
      <c r="J134" s="110"/>
      <c r="K134" s="110"/>
      <c r="L134" s="110"/>
      <c r="M134" s="110"/>
      <c r="N134" s="110"/>
    </row>
    <row r="135" spans="1:14">
      <c r="A135" s="247">
        <v>44511</v>
      </c>
      <c r="B135" s="370">
        <v>44517</v>
      </c>
      <c r="C135" s="193" t="s">
        <v>2088</v>
      </c>
      <c r="D135" s="192">
        <v>24566</v>
      </c>
      <c r="E135" s="249">
        <v>21344.02</v>
      </c>
      <c r="F135" s="249"/>
      <c r="G135" s="371" t="s">
        <v>1388</v>
      </c>
      <c r="H135" s="129"/>
      <c r="I135" s="129"/>
      <c r="J135" s="129"/>
      <c r="K135" s="129"/>
      <c r="L135" s="129"/>
      <c r="M135" s="129"/>
      <c r="N135" s="129"/>
    </row>
    <row r="136" spans="1:14">
      <c r="A136" s="247">
        <v>44511</v>
      </c>
      <c r="B136" s="370">
        <v>44517</v>
      </c>
      <c r="C136" s="193" t="s">
        <v>2089</v>
      </c>
      <c r="D136" s="192">
        <v>24567</v>
      </c>
      <c r="E136" s="249">
        <v>105958.7</v>
      </c>
      <c r="F136" s="249"/>
      <c r="G136" s="191" t="s">
        <v>1388</v>
      </c>
      <c r="H136" s="110"/>
      <c r="I136" s="110"/>
      <c r="J136" s="110"/>
      <c r="K136" s="110"/>
      <c r="L136" s="110"/>
      <c r="M136" s="110"/>
      <c r="N136" s="110"/>
    </row>
    <row r="137" spans="1:14">
      <c r="A137" s="247">
        <v>44511</v>
      </c>
      <c r="B137" s="370">
        <v>44517</v>
      </c>
      <c r="C137" s="193" t="s">
        <v>2129</v>
      </c>
      <c r="D137" s="192">
        <v>24568</v>
      </c>
      <c r="E137" s="249">
        <v>66867.179999999993</v>
      </c>
      <c r="F137" s="249"/>
      <c r="G137" s="191" t="s">
        <v>102</v>
      </c>
      <c r="H137" s="110"/>
      <c r="I137" s="110"/>
      <c r="J137" s="110"/>
      <c r="K137" s="110"/>
      <c r="L137" s="110"/>
      <c r="M137" s="110"/>
      <c r="N137" s="110"/>
    </row>
    <row r="138" spans="1:14">
      <c r="A138" s="247">
        <v>44511</v>
      </c>
      <c r="B138" s="370">
        <v>44517</v>
      </c>
      <c r="C138" s="193" t="s">
        <v>2090</v>
      </c>
      <c r="D138" s="192">
        <v>24569</v>
      </c>
      <c r="E138" s="249">
        <v>95958.7</v>
      </c>
      <c r="F138" s="249"/>
      <c r="G138" s="197" t="s">
        <v>1388</v>
      </c>
    </row>
    <row r="139" spans="1:14">
      <c r="A139" s="247">
        <v>44511</v>
      </c>
      <c r="B139" s="370">
        <v>44517</v>
      </c>
      <c r="C139" s="193" t="s">
        <v>2091</v>
      </c>
      <c r="D139" s="192">
        <v>24570</v>
      </c>
      <c r="E139" s="249">
        <v>106608.68</v>
      </c>
      <c r="F139" s="249"/>
      <c r="G139" s="191" t="s">
        <v>1388</v>
      </c>
    </row>
    <row r="140" spans="1:14">
      <c r="A140" s="247">
        <v>44511</v>
      </c>
      <c r="B140" s="370">
        <v>44517</v>
      </c>
      <c r="C140" s="193" t="s">
        <v>2092</v>
      </c>
      <c r="D140" s="192">
        <v>24571</v>
      </c>
      <c r="E140" s="249">
        <v>33561.760000000002</v>
      </c>
      <c r="F140" s="249"/>
      <c r="G140" s="191" t="s">
        <v>1388</v>
      </c>
    </row>
    <row r="141" spans="1:14">
      <c r="A141" s="247">
        <v>44511</v>
      </c>
      <c r="B141" s="370">
        <v>44517</v>
      </c>
      <c r="C141" s="193" t="s">
        <v>2093</v>
      </c>
      <c r="D141" s="192">
        <v>24572</v>
      </c>
      <c r="E141" s="249">
        <v>9882.23</v>
      </c>
      <c r="F141" s="249"/>
      <c r="G141" s="191" t="s">
        <v>1388</v>
      </c>
    </row>
    <row r="142" spans="1:14">
      <c r="A142" s="247">
        <v>44511</v>
      </c>
      <c r="B142" s="370">
        <v>44517</v>
      </c>
      <c r="C142" s="193" t="s">
        <v>2094</v>
      </c>
      <c r="D142" s="192">
        <v>24574</v>
      </c>
      <c r="E142" s="249">
        <v>83189.89</v>
      </c>
      <c r="F142" s="249"/>
      <c r="G142" s="371" t="s">
        <v>1388</v>
      </c>
    </row>
    <row r="143" spans="1:14">
      <c r="A143" s="247">
        <v>44511</v>
      </c>
      <c r="B143" s="370">
        <v>44517</v>
      </c>
      <c r="C143" s="193" t="s">
        <v>2095</v>
      </c>
      <c r="D143" s="192">
        <v>24575</v>
      </c>
      <c r="E143" s="249">
        <v>25228.43</v>
      </c>
      <c r="F143" s="249"/>
      <c r="G143" s="371" t="s">
        <v>1388</v>
      </c>
    </row>
    <row r="144" spans="1:14">
      <c r="A144" s="247">
        <v>44511</v>
      </c>
      <c r="B144" s="370">
        <v>44517</v>
      </c>
      <c r="C144" s="193" t="s">
        <v>2096</v>
      </c>
      <c r="D144" s="192">
        <v>24576</v>
      </c>
      <c r="E144" s="249">
        <v>82560.37</v>
      </c>
      <c r="F144" s="249"/>
      <c r="G144" s="371" t="s">
        <v>1388</v>
      </c>
    </row>
    <row r="145" spans="1:7">
      <c r="A145" s="247">
        <v>44511</v>
      </c>
      <c r="B145" s="370">
        <v>44517</v>
      </c>
      <c r="C145" s="193" t="s">
        <v>2097</v>
      </c>
      <c r="D145" s="192">
        <v>24577</v>
      </c>
      <c r="E145" s="249">
        <v>58971.7</v>
      </c>
      <c r="F145" s="249"/>
      <c r="G145" s="371" t="s">
        <v>1388</v>
      </c>
    </row>
    <row r="146" spans="1:7">
      <c r="A146" s="237">
        <v>44511</v>
      </c>
      <c r="B146" s="370">
        <v>44517</v>
      </c>
      <c r="C146" s="193" t="s">
        <v>2098</v>
      </c>
      <c r="D146" s="192">
        <v>24578</v>
      </c>
      <c r="E146" s="249">
        <v>187257.11</v>
      </c>
      <c r="F146" s="249"/>
      <c r="G146" s="371" t="s">
        <v>1388</v>
      </c>
    </row>
    <row r="147" spans="1:7">
      <c r="A147" s="247">
        <v>44511</v>
      </c>
      <c r="B147" s="370">
        <v>44517</v>
      </c>
      <c r="C147" s="193" t="s">
        <v>2099</v>
      </c>
      <c r="D147" s="192">
        <v>24579</v>
      </c>
      <c r="E147" s="249">
        <v>62133.19</v>
      </c>
      <c r="F147" s="249"/>
      <c r="G147" s="191" t="s">
        <v>1388</v>
      </c>
    </row>
    <row r="148" spans="1:7">
      <c r="A148" s="247">
        <v>44511</v>
      </c>
      <c r="B148" s="370">
        <v>44517</v>
      </c>
      <c r="C148" s="193" t="s">
        <v>2100</v>
      </c>
      <c r="D148" s="192">
        <v>24580</v>
      </c>
      <c r="E148" s="249">
        <v>22514.47</v>
      </c>
      <c r="F148" s="249"/>
      <c r="G148" s="191" t="s">
        <v>1388</v>
      </c>
    </row>
    <row r="149" spans="1:7">
      <c r="A149" s="247">
        <v>44511</v>
      </c>
      <c r="B149" s="370">
        <v>44517</v>
      </c>
      <c r="C149" s="193" t="s">
        <v>2101</v>
      </c>
      <c r="D149" s="192">
        <v>24581</v>
      </c>
      <c r="E149" s="249">
        <v>48454.080000000002</v>
      </c>
      <c r="F149" s="249"/>
      <c r="G149" s="191" t="s">
        <v>1388</v>
      </c>
    </row>
    <row r="150" spans="1:7">
      <c r="A150" s="247">
        <v>44511</v>
      </c>
      <c r="B150" s="370">
        <v>44517</v>
      </c>
      <c r="C150" s="193" t="s">
        <v>2102</v>
      </c>
      <c r="D150" s="192">
        <v>24582</v>
      </c>
      <c r="E150" s="249">
        <v>23664.82</v>
      </c>
      <c r="F150" s="249"/>
      <c r="G150" s="371" t="s">
        <v>1388</v>
      </c>
    </row>
    <row r="151" spans="1:7">
      <c r="A151" s="247">
        <v>44511</v>
      </c>
      <c r="B151" s="370">
        <v>44517</v>
      </c>
      <c r="C151" s="193" t="s">
        <v>2103</v>
      </c>
      <c r="D151" s="192">
        <v>24583</v>
      </c>
      <c r="E151" s="249">
        <v>70510.69</v>
      </c>
      <c r="F151" s="249"/>
      <c r="G151" s="191" t="s">
        <v>1388</v>
      </c>
    </row>
    <row r="152" spans="1:7">
      <c r="A152" s="247">
        <v>44511</v>
      </c>
      <c r="B152" s="370">
        <v>44517</v>
      </c>
      <c r="C152" s="193" t="s">
        <v>2104</v>
      </c>
      <c r="D152" s="192">
        <v>24584</v>
      </c>
      <c r="E152" s="249">
        <v>17056.41</v>
      </c>
      <c r="F152" s="249"/>
      <c r="G152" s="371" t="s">
        <v>1388</v>
      </c>
    </row>
    <row r="153" spans="1:7">
      <c r="A153" s="247">
        <v>44511</v>
      </c>
      <c r="B153" s="370">
        <v>44517</v>
      </c>
      <c r="C153" s="193" t="s">
        <v>2105</v>
      </c>
      <c r="D153" s="192">
        <v>24585</v>
      </c>
      <c r="E153" s="249">
        <v>12500</v>
      </c>
      <c r="F153" s="249"/>
      <c r="G153" s="371" t="s">
        <v>1388</v>
      </c>
    </row>
    <row r="154" spans="1:7">
      <c r="A154" s="247">
        <v>44511</v>
      </c>
      <c r="B154" s="370">
        <v>44517</v>
      </c>
      <c r="C154" s="193" t="s">
        <v>2106</v>
      </c>
      <c r="D154" s="192">
        <v>24587</v>
      </c>
      <c r="E154" s="249">
        <v>19229.349999999999</v>
      </c>
      <c r="F154" s="249"/>
      <c r="G154" s="191" t="s">
        <v>1388</v>
      </c>
    </row>
    <row r="155" spans="1:7">
      <c r="A155" s="247">
        <v>44511</v>
      </c>
      <c r="B155" s="370">
        <v>44517</v>
      </c>
      <c r="C155" s="193" t="s">
        <v>2107</v>
      </c>
      <c r="D155" s="192">
        <v>24588</v>
      </c>
      <c r="E155" s="249">
        <v>59358.68</v>
      </c>
      <c r="F155" s="249"/>
      <c r="G155" s="371" t="s">
        <v>1388</v>
      </c>
    </row>
    <row r="156" spans="1:7">
      <c r="A156" s="247">
        <v>44511</v>
      </c>
      <c r="B156" s="370">
        <v>44517</v>
      </c>
      <c r="C156" s="193" t="s">
        <v>2108</v>
      </c>
      <c r="D156" s="192">
        <v>24589</v>
      </c>
      <c r="E156" s="249">
        <v>17306.41</v>
      </c>
      <c r="F156" s="249"/>
      <c r="G156" s="371" t="s">
        <v>1388</v>
      </c>
    </row>
    <row r="157" spans="1:7">
      <c r="A157" s="247">
        <v>44511</v>
      </c>
      <c r="B157" s="370">
        <v>44517</v>
      </c>
      <c r="C157" s="193" t="s">
        <v>2109</v>
      </c>
      <c r="D157" s="192">
        <v>24590</v>
      </c>
      <c r="E157" s="249">
        <v>78478.429999999993</v>
      </c>
      <c r="F157" s="249"/>
      <c r="G157" s="371" t="s">
        <v>1388</v>
      </c>
    </row>
    <row r="158" spans="1:7">
      <c r="A158" s="247">
        <v>44511</v>
      </c>
      <c r="B158" s="370">
        <v>44517</v>
      </c>
      <c r="C158" s="193" t="s">
        <v>2110</v>
      </c>
      <c r="D158" s="192">
        <v>24591</v>
      </c>
      <c r="E158" s="249">
        <v>190098.51</v>
      </c>
      <c r="F158" s="249"/>
      <c r="G158" s="371" t="s">
        <v>1388</v>
      </c>
    </row>
    <row r="159" spans="1:7">
      <c r="A159" s="247">
        <v>44511</v>
      </c>
      <c r="B159" s="370">
        <v>44517</v>
      </c>
      <c r="C159" s="193" t="s">
        <v>2111</v>
      </c>
      <c r="D159" s="192">
        <v>24592</v>
      </c>
      <c r="E159" s="249">
        <v>57585.98</v>
      </c>
      <c r="F159" s="249"/>
      <c r="G159" s="191" t="s">
        <v>1388</v>
      </c>
    </row>
    <row r="160" spans="1:7">
      <c r="A160" s="247">
        <v>44511</v>
      </c>
      <c r="B160" s="370">
        <v>44517</v>
      </c>
      <c r="C160" s="193" t="s">
        <v>2112</v>
      </c>
      <c r="D160" s="192">
        <v>24593</v>
      </c>
      <c r="E160" s="249">
        <v>118112.08</v>
      </c>
      <c r="F160" s="249"/>
      <c r="G160" s="191" t="s">
        <v>1388</v>
      </c>
    </row>
    <row r="161" spans="1:14">
      <c r="A161" s="247">
        <v>44511</v>
      </c>
      <c r="B161" s="370">
        <v>44517</v>
      </c>
      <c r="C161" s="193" t="s">
        <v>2113</v>
      </c>
      <c r="D161" s="192">
        <v>24594</v>
      </c>
      <c r="E161" s="249">
        <v>103992.49</v>
      </c>
      <c r="F161" s="249"/>
      <c r="G161" s="191" t="s">
        <v>1388</v>
      </c>
    </row>
    <row r="162" spans="1:14">
      <c r="A162" s="247">
        <v>44511</v>
      </c>
      <c r="B162" s="370">
        <v>44512</v>
      </c>
      <c r="C162" s="193" t="s">
        <v>2114</v>
      </c>
      <c r="D162" s="192">
        <v>24595</v>
      </c>
      <c r="E162" s="249">
        <v>72177.350000000006</v>
      </c>
      <c r="F162" s="249"/>
      <c r="G162" s="14" t="s">
        <v>1388</v>
      </c>
    </row>
    <row r="163" spans="1:14">
      <c r="A163" s="247">
        <v>44511</v>
      </c>
      <c r="B163" s="370">
        <v>44517</v>
      </c>
      <c r="C163" s="193" t="s">
        <v>2051</v>
      </c>
      <c r="D163" s="192">
        <v>24596</v>
      </c>
      <c r="E163" s="249">
        <v>114000</v>
      </c>
      <c r="F163" s="249">
        <f>+E163+E162</f>
        <v>186177.35</v>
      </c>
      <c r="G163" s="371" t="s">
        <v>1373</v>
      </c>
      <c r="H163" s="129"/>
      <c r="I163" s="129">
        <v>6000</v>
      </c>
      <c r="J163" s="129"/>
      <c r="K163" s="129"/>
      <c r="L163" s="129"/>
      <c r="M163" s="129"/>
      <c r="N163" s="129"/>
    </row>
    <row r="164" spans="1:14">
      <c r="A164" s="247">
        <v>44511</v>
      </c>
      <c r="B164" s="370">
        <v>44523</v>
      </c>
      <c r="C164" s="193" t="s">
        <v>1096</v>
      </c>
      <c r="D164" s="192">
        <v>24597</v>
      </c>
      <c r="E164" s="249">
        <v>764012</v>
      </c>
      <c r="F164" s="249"/>
      <c r="G164" s="371" t="s">
        <v>1377</v>
      </c>
      <c r="H164" s="129"/>
      <c r="I164" s="129">
        <v>3588</v>
      </c>
      <c r="J164" s="129"/>
      <c r="K164" s="129"/>
      <c r="L164" s="129"/>
      <c r="M164" s="129"/>
      <c r="N164" s="129"/>
    </row>
    <row r="165" spans="1:14">
      <c r="A165" s="247">
        <v>44511</v>
      </c>
      <c r="B165" s="370">
        <v>44518</v>
      </c>
      <c r="C165" s="193" t="s">
        <v>1856</v>
      </c>
      <c r="D165" s="192">
        <v>24598</v>
      </c>
      <c r="E165" s="249">
        <v>4976.5</v>
      </c>
      <c r="F165" s="249"/>
      <c r="G165" s="191" t="s">
        <v>705</v>
      </c>
      <c r="H165" s="110"/>
      <c r="I165" s="110">
        <v>231.25</v>
      </c>
      <c r="J165" s="110"/>
      <c r="K165" s="110"/>
      <c r="L165" s="110"/>
      <c r="M165" s="110"/>
      <c r="N165" s="110">
        <v>249.75</v>
      </c>
    </row>
    <row r="166" spans="1:14">
      <c r="A166" s="247">
        <v>44511</v>
      </c>
      <c r="B166" s="370">
        <v>44517</v>
      </c>
      <c r="C166" s="193" t="s">
        <v>1856</v>
      </c>
      <c r="D166" s="192">
        <v>24600</v>
      </c>
      <c r="E166" s="249">
        <v>18587.900000000001</v>
      </c>
      <c r="F166" s="249"/>
      <c r="G166" s="371" t="s">
        <v>705</v>
      </c>
      <c r="H166" s="129"/>
      <c r="I166" s="129">
        <v>863.75</v>
      </c>
      <c r="J166" s="129"/>
      <c r="K166" s="129"/>
      <c r="L166" s="129"/>
      <c r="M166" s="129"/>
      <c r="N166" s="129">
        <v>932.87</v>
      </c>
    </row>
    <row r="167" spans="1:14">
      <c r="A167" s="247">
        <v>44511</v>
      </c>
      <c r="B167" s="370">
        <v>44524</v>
      </c>
      <c r="C167" s="193" t="s">
        <v>1293</v>
      </c>
      <c r="D167" s="192">
        <v>24601</v>
      </c>
      <c r="E167" s="249">
        <v>56500</v>
      </c>
      <c r="F167" s="249"/>
      <c r="G167" s="371" t="s">
        <v>102</v>
      </c>
      <c r="H167" s="129"/>
      <c r="I167" s="129">
        <v>2500</v>
      </c>
      <c r="J167" s="129"/>
      <c r="K167" s="129"/>
      <c r="L167" s="129"/>
      <c r="M167" s="129"/>
      <c r="N167" s="129"/>
    </row>
    <row r="168" spans="1:14">
      <c r="A168" s="247">
        <v>44511</v>
      </c>
      <c r="B168" s="370">
        <v>44517</v>
      </c>
      <c r="C168" s="193" t="s">
        <v>1332</v>
      </c>
      <c r="D168" s="192">
        <v>24602</v>
      </c>
      <c r="E168" s="249">
        <v>492825.61</v>
      </c>
      <c r="F168" s="249">
        <f>+E168+E167</f>
        <v>549325.61</v>
      </c>
      <c r="G168" s="371" t="s">
        <v>597</v>
      </c>
      <c r="H168" s="129"/>
      <c r="I168" s="129">
        <v>19897.939999999999</v>
      </c>
      <c r="J168" s="129"/>
      <c r="K168" s="129"/>
      <c r="L168" s="129"/>
      <c r="M168" s="129"/>
      <c r="N168" s="129"/>
    </row>
    <row r="169" spans="1:14">
      <c r="A169" s="247">
        <v>44511</v>
      </c>
      <c r="B169" s="370">
        <v>44517</v>
      </c>
      <c r="C169" s="193" t="s">
        <v>2130</v>
      </c>
      <c r="D169" s="192">
        <v>24603</v>
      </c>
      <c r="E169" s="249">
        <v>54000</v>
      </c>
      <c r="F169" s="249"/>
      <c r="G169" s="371" t="s">
        <v>102</v>
      </c>
      <c r="H169" s="129"/>
      <c r="I169" s="129"/>
      <c r="J169" s="129"/>
      <c r="K169" s="129"/>
      <c r="L169" s="129">
        <v>6000</v>
      </c>
      <c r="M169" s="129">
        <v>10800</v>
      </c>
      <c r="N169" s="129"/>
    </row>
    <row r="170" spans="1:14">
      <c r="A170" s="247">
        <v>44511</v>
      </c>
      <c r="B170" s="370">
        <v>44518</v>
      </c>
      <c r="C170" s="193" t="s">
        <v>1857</v>
      </c>
      <c r="D170" s="192">
        <v>24604</v>
      </c>
      <c r="E170" s="249">
        <v>18000</v>
      </c>
      <c r="F170" s="249"/>
      <c r="G170" s="371" t="s">
        <v>102</v>
      </c>
      <c r="H170" s="129"/>
      <c r="I170" s="129"/>
      <c r="J170" s="129"/>
      <c r="K170" s="129"/>
      <c r="L170" s="129">
        <v>2000</v>
      </c>
      <c r="M170" s="129">
        <v>3600</v>
      </c>
      <c r="N170" s="129"/>
    </row>
    <row r="171" spans="1:14">
      <c r="A171" s="247">
        <v>44511</v>
      </c>
      <c r="B171" s="370">
        <v>44517</v>
      </c>
      <c r="C171" s="193" t="s">
        <v>2025</v>
      </c>
      <c r="D171" s="192">
        <v>24605</v>
      </c>
      <c r="E171" s="249">
        <v>28250</v>
      </c>
      <c r="F171" s="249"/>
      <c r="G171" s="371" t="s">
        <v>102</v>
      </c>
      <c r="H171" s="129"/>
      <c r="I171" s="129">
        <v>1250</v>
      </c>
      <c r="J171" s="129"/>
      <c r="K171" s="129"/>
      <c r="L171" s="129"/>
      <c r="M171" s="129"/>
      <c r="N171" s="129"/>
    </row>
    <row r="172" spans="1:14">
      <c r="A172" s="247">
        <v>44511</v>
      </c>
      <c r="B172" s="370">
        <v>44517</v>
      </c>
      <c r="C172" s="193" t="s">
        <v>1171</v>
      </c>
      <c r="D172" s="192">
        <v>24606</v>
      </c>
      <c r="E172" s="249">
        <v>33900</v>
      </c>
      <c r="F172" s="249"/>
      <c r="G172" s="371" t="s">
        <v>102</v>
      </c>
      <c r="H172" s="129"/>
      <c r="I172" s="129">
        <v>1500</v>
      </c>
      <c r="J172" s="129"/>
      <c r="K172" s="129"/>
      <c r="L172" s="129"/>
      <c r="M172" s="129"/>
      <c r="N172" s="129"/>
    </row>
    <row r="173" spans="1:14">
      <c r="A173" s="247">
        <v>44511</v>
      </c>
      <c r="B173" s="370">
        <v>44517</v>
      </c>
      <c r="C173" s="193" t="s">
        <v>1146</v>
      </c>
      <c r="D173" s="192">
        <v>24607</v>
      </c>
      <c r="E173" s="249">
        <v>18000</v>
      </c>
      <c r="F173" s="249"/>
      <c r="G173" s="371" t="s">
        <v>102</v>
      </c>
      <c r="H173" s="129"/>
      <c r="I173" s="129"/>
      <c r="J173" s="129"/>
      <c r="K173" s="129"/>
      <c r="L173" s="129">
        <v>2000</v>
      </c>
      <c r="M173" s="129">
        <v>3600</v>
      </c>
      <c r="N173" s="129"/>
    </row>
    <row r="174" spans="1:14">
      <c r="A174" s="247">
        <v>44511</v>
      </c>
      <c r="B174" s="370">
        <v>44524</v>
      </c>
      <c r="C174" s="193" t="s">
        <v>2131</v>
      </c>
      <c r="D174" s="192">
        <v>24608</v>
      </c>
      <c r="E174" s="249">
        <v>27000</v>
      </c>
      <c r="F174" s="249"/>
      <c r="G174" s="371" t="s">
        <v>102</v>
      </c>
      <c r="H174" s="129"/>
      <c r="I174" s="129"/>
      <c r="J174" s="129"/>
      <c r="K174" s="129"/>
      <c r="L174" s="129">
        <v>3000</v>
      </c>
      <c r="M174" s="129">
        <v>5400</v>
      </c>
      <c r="N174" s="129"/>
    </row>
    <row r="175" spans="1:14">
      <c r="A175" s="247">
        <v>44511</v>
      </c>
      <c r="B175" s="370">
        <v>44517</v>
      </c>
      <c r="C175" s="193" t="s">
        <v>1851</v>
      </c>
      <c r="D175" s="192">
        <v>24609</v>
      </c>
      <c r="E175" s="249">
        <v>18000</v>
      </c>
      <c r="F175" s="249"/>
      <c r="G175" s="371" t="s">
        <v>102</v>
      </c>
      <c r="H175" s="129"/>
      <c r="I175" s="129"/>
      <c r="J175" s="129"/>
      <c r="K175" s="129"/>
      <c r="L175" s="129">
        <v>2000</v>
      </c>
      <c r="M175" s="129">
        <v>3600</v>
      </c>
      <c r="N175" s="129"/>
    </row>
    <row r="176" spans="1:14">
      <c r="A176" s="247">
        <v>44511</v>
      </c>
      <c r="B176" s="370">
        <v>44517</v>
      </c>
      <c r="C176" s="193" t="s">
        <v>2024</v>
      </c>
      <c r="D176" s="192">
        <v>24610</v>
      </c>
      <c r="E176" s="249">
        <v>33900</v>
      </c>
      <c r="F176" s="249"/>
      <c r="G176" s="371" t="s">
        <v>102</v>
      </c>
      <c r="H176" s="129"/>
      <c r="I176" s="129">
        <v>1500</v>
      </c>
      <c r="J176" s="129"/>
      <c r="K176" s="129"/>
      <c r="L176" s="129"/>
      <c r="M176" s="129"/>
      <c r="N176" s="129"/>
    </row>
    <row r="177" spans="1:13">
      <c r="A177" s="247">
        <v>44511</v>
      </c>
      <c r="B177" s="370">
        <v>44517</v>
      </c>
      <c r="C177" s="193" t="s">
        <v>2132</v>
      </c>
      <c r="D177" s="192">
        <v>24611</v>
      </c>
      <c r="E177" s="249">
        <v>56500</v>
      </c>
      <c r="F177" s="249"/>
      <c r="G177" s="191" t="s">
        <v>102</v>
      </c>
      <c r="H177" s="110"/>
      <c r="I177" s="110">
        <v>2500</v>
      </c>
      <c r="J177" s="110"/>
      <c r="K177" s="110"/>
      <c r="L177" s="110"/>
      <c r="M177" s="110"/>
    </row>
    <row r="178" spans="1:13">
      <c r="A178" s="247">
        <v>44511</v>
      </c>
      <c r="B178" s="370">
        <v>44517</v>
      </c>
      <c r="C178" s="193" t="s">
        <v>1162</v>
      </c>
      <c r="D178" s="192">
        <v>24613</v>
      </c>
      <c r="E178" s="249">
        <v>54000</v>
      </c>
      <c r="F178" s="249"/>
      <c r="G178" s="371" t="s">
        <v>102</v>
      </c>
      <c r="H178" s="129"/>
      <c r="I178" s="129"/>
      <c r="J178" s="129"/>
      <c r="K178" s="129"/>
      <c r="L178" s="129">
        <v>6000</v>
      </c>
      <c r="M178" s="129">
        <v>10800</v>
      </c>
    </row>
    <row r="179" spans="1:13">
      <c r="A179" s="247">
        <v>44511</v>
      </c>
      <c r="B179" s="370">
        <v>44517</v>
      </c>
      <c r="C179" s="193" t="s">
        <v>1165</v>
      </c>
      <c r="D179" s="192">
        <v>24614</v>
      </c>
      <c r="E179" s="249">
        <v>33900</v>
      </c>
      <c r="F179" s="249"/>
      <c r="G179" s="191" t="s">
        <v>102</v>
      </c>
      <c r="H179" s="110"/>
      <c r="I179" s="110">
        <v>1500</v>
      </c>
      <c r="J179" s="110"/>
      <c r="K179" s="110"/>
      <c r="L179" s="110"/>
      <c r="M179" s="110"/>
    </row>
    <row r="180" spans="1:13">
      <c r="A180" s="247">
        <v>44511</v>
      </c>
      <c r="B180" s="370">
        <v>44517</v>
      </c>
      <c r="C180" s="193" t="s">
        <v>1858</v>
      </c>
      <c r="D180" s="192">
        <v>24615</v>
      </c>
      <c r="E180" s="249">
        <v>18000</v>
      </c>
      <c r="F180" s="249"/>
      <c r="G180" s="371" t="s">
        <v>102</v>
      </c>
      <c r="H180" s="129"/>
      <c r="I180" s="129"/>
      <c r="J180" s="129"/>
      <c r="K180" s="129"/>
      <c r="L180" s="129">
        <v>2000</v>
      </c>
      <c r="M180" s="129">
        <v>3600</v>
      </c>
    </row>
    <row r="181" spans="1:13">
      <c r="A181" s="247">
        <v>44511</v>
      </c>
      <c r="B181" s="370">
        <v>44517</v>
      </c>
      <c r="C181" s="193" t="s">
        <v>1152</v>
      </c>
      <c r="D181" s="192">
        <v>24616</v>
      </c>
      <c r="E181" s="249">
        <v>180000</v>
      </c>
      <c r="F181" s="249"/>
      <c r="G181" s="371" t="s">
        <v>102</v>
      </c>
      <c r="H181" s="129"/>
      <c r="I181" s="129"/>
      <c r="J181" s="129"/>
      <c r="K181" s="129"/>
      <c r="L181" s="129">
        <v>20000</v>
      </c>
      <c r="M181" s="129">
        <v>36000</v>
      </c>
    </row>
    <row r="182" spans="1:13">
      <c r="A182" s="247">
        <v>44511</v>
      </c>
      <c r="B182" s="370">
        <v>44518</v>
      </c>
      <c r="C182" s="193" t="s">
        <v>2133</v>
      </c>
      <c r="D182" s="192">
        <v>24617</v>
      </c>
      <c r="E182" s="249">
        <v>22500</v>
      </c>
      <c r="F182" s="249"/>
      <c r="G182" s="191" t="s">
        <v>102</v>
      </c>
      <c r="H182" s="110"/>
      <c r="I182" s="110"/>
      <c r="J182" s="110"/>
      <c r="K182" s="110"/>
      <c r="L182" s="110">
        <v>2500</v>
      </c>
      <c r="M182" s="110">
        <v>4500</v>
      </c>
    </row>
    <row r="183" spans="1:13">
      <c r="A183" s="237">
        <v>44511</v>
      </c>
      <c r="B183" s="370">
        <v>44510</v>
      </c>
      <c r="C183" s="193" t="s">
        <v>1107</v>
      </c>
      <c r="D183" s="192">
        <v>24618</v>
      </c>
      <c r="E183" s="249">
        <v>28250</v>
      </c>
      <c r="F183" s="249"/>
      <c r="G183" s="191" t="s">
        <v>102</v>
      </c>
      <c r="H183" s="110"/>
      <c r="I183" s="110">
        <v>1250</v>
      </c>
      <c r="J183" s="110"/>
      <c r="K183" s="110"/>
      <c r="L183" s="110"/>
      <c r="M183" s="110"/>
    </row>
    <row r="184" spans="1:13">
      <c r="A184" s="247">
        <v>44511</v>
      </c>
      <c r="B184" s="370">
        <v>44517</v>
      </c>
      <c r="C184" s="193" t="s">
        <v>1153</v>
      </c>
      <c r="D184" s="192">
        <v>24619</v>
      </c>
      <c r="E184" s="249">
        <v>45200</v>
      </c>
      <c r="F184" s="249"/>
      <c r="G184" s="191" t="s">
        <v>102</v>
      </c>
      <c r="H184" s="110"/>
      <c r="I184" s="110">
        <v>2000</v>
      </c>
      <c r="J184" s="110"/>
      <c r="K184" s="110"/>
      <c r="L184" s="110"/>
      <c r="M184" s="110"/>
    </row>
    <row r="185" spans="1:13">
      <c r="A185" s="247">
        <v>44511</v>
      </c>
      <c r="B185" s="370">
        <v>44524</v>
      </c>
      <c r="C185" s="193" t="s">
        <v>1150</v>
      </c>
      <c r="D185" s="192">
        <v>24620</v>
      </c>
      <c r="E185" s="249">
        <v>27000</v>
      </c>
      <c r="F185" s="249"/>
      <c r="G185" s="371" t="s">
        <v>102</v>
      </c>
      <c r="H185" s="129"/>
      <c r="I185" s="129"/>
      <c r="J185" s="129"/>
      <c r="K185" s="129"/>
      <c r="L185" s="129">
        <v>3000</v>
      </c>
      <c r="M185" s="129">
        <v>5400</v>
      </c>
    </row>
    <row r="186" spans="1:13">
      <c r="A186" s="247">
        <v>44511</v>
      </c>
      <c r="B186" s="370">
        <v>44524</v>
      </c>
      <c r="C186" s="193" t="s">
        <v>1855</v>
      </c>
      <c r="D186" s="192">
        <v>24621</v>
      </c>
      <c r="E186" s="249">
        <v>22600</v>
      </c>
      <c r="F186" s="249"/>
      <c r="G186" s="191" t="s">
        <v>102</v>
      </c>
      <c r="H186" s="110"/>
      <c r="I186" s="110">
        <v>1000</v>
      </c>
      <c r="J186" s="110"/>
      <c r="K186" s="110"/>
      <c r="L186" s="110"/>
      <c r="M186" s="110"/>
    </row>
    <row r="187" spans="1:13">
      <c r="A187" s="247">
        <v>44511</v>
      </c>
      <c r="B187" s="370">
        <v>44517</v>
      </c>
      <c r="C187" s="193" t="s">
        <v>1151</v>
      </c>
      <c r="D187" s="192">
        <v>24622</v>
      </c>
      <c r="E187" s="249">
        <v>67800</v>
      </c>
      <c r="F187" s="249"/>
      <c r="G187" s="371" t="s">
        <v>102</v>
      </c>
      <c r="H187" s="129"/>
      <c r="I187" s="129">
        <v>3000</v>
      </c>
      <c r="J187" s="129"/>
      <c r="K187" s="129"/>
      <c r="L187" s="129"/>
      <c r="M187" s="129"/>
    </row>
    <row r="188" spans="1:13">
      <c r="A188" s="247">
        <v>44511</v>
      </c>
      <c r="B188" s="370">
        <v>44517</v>
      </c>
      <c r="C188" s="193" t="s">
        <v>1853</v>
      </c>
      <c r="D188" s="192">
        <v>24623</v>
      </c>
      <c r="E188" s="249">
        <v>45000</v>
      </c>
      <c r="F188" s="249"/>
      <c r="G188" s="371" t="s">
        <v>102</v>
      </c>
      <c r="H188" s="129"/>
      <c r="I188" s="129"/>
      <c r="J188" s="129"/>
      <c r="K188" s="129"/>
      <c r="L188" s="129">
        <v>5000</v>
      </c>
      <c r="M188" s="129">
        <v>9000</v>
      </c>
    </row>
    <row r="189" spans="1:13">
      <c r="A189" s="247">
        <v>44511</v>
      </c>
      <c r="B189" s="370">
        <v>44517</v>
      </c>
      <c r="C189" s="193" t="s">
        <v>1160</v>
      </c>
      <c r="D189" s="192">
        <v>24624</v>
      </c>
      <c r="E189" s="249">
        <v>67800</v>
      </c>
      <c r="F189" s="249"/>
      <c r="G189" s="371" t="s">
        <v>102</v>
      </c>
      <c r="H189" s="129"/>
      <c r="I189" s="129">
        <v>3000</v>
      </c>
      <c r="J189" s="129"/>
      <c r="K189" s="129"/>
      <c r="L189" s="129"/>
      <c r="M189" s="129"/>
    </row>
    <row r="190" spans="1:13">
      <c r="A190" s="247">
        <v>44511</v>
      </c>
      <c r="B190" s="370">
        <v>44517</v>
      </c>
      <c r="C190" s="193" t="s">
        <v>1164</v>
      </c>
      <c r="D190" s="192">
        <v>24625</v>
      </c>
      <c r="E190" s="249">
        <v>67800</v>
      </c>
      <c r="F190" s="249"/>
      <c r="G190" s="371" t="s">
        <v>102</v>
      </c>
      <c r="H190" s="129"/>
      <c r="I190" s="129">
        <v>3000</v>
      </c>
      <c r="J190" s="129"/>
      <c r="K190" s="129"/>
      <c r="L190" s="129"/>
      <c r="M190" s="129"/>
    </row>
    <row r="191" spans="1:13">
      <c r="A191" s="247">
        <v>44511</v>
      </c>
      <c r="B191" s="370">
        <v>44517</v>
      </c>
      <c r="C191" s="193" t="s">
        <v>2131</v>
      </c>
      <c r="D191" s="192">
        <v>24626</v>
      </c>
      <c r="E191" s="249">
        <v>54000</v>
      </c>
      <c r="F191" s="249"/>
      <c r="G191" s="371" t="s">
        <v>102</v>
      </c>
      <c r="H191" s="129"/>
      <c r="I191" s="129"/>
      <c r="J191" s="129"/>
      <c r="K191" s="129"/>
      <c r="L191" s="129">
        <v>6000</v>
      </c>
      <c r="M191" s="129">
        <v>10800</v>
      </c>
    </row>
    <row r="192" spans="1:13">
      <c r="A192" s="247">
        <v>44511</v>
      </c>
      <c r="B192" s="370">
        <v>44517</v>
      </c>
      <c r="C192" s="193" t="s">
        <v>2134</v>
      </c>
      <c r="D192" s="192">
        <v>24627</v>
      </c>
      <c r="E192" s="249">
        <v>45200</v>
      </c>
      <c r="F192" s="249"/>
      <c r="G192" s="371" t="s">
        <v>102</v>
      </c>
      <c r="H192" s="129"/>
      <c r="I192" s="129">
        <v>2000</v>
      </c>
      <c r="J192" s="129"/>
      <c r="K192" s="129"/>
      <c r="L192" s="129"/>
      <c r="M192" s="129"/>
    </row>
    <row r="193" spans="1:14">
      <c r="A193" s="247">
        <v>44511</v>
      </c>
      <c r="B193" s="370">
        <v>44518</v>
      </c>
      <c r="C193" s="193" t="s">
        <v>1324</v>
      </c>
      <c r="D193" s="192">
        <v>24628</v>
      </c>
      <c r="E193" s="249">
        <v>113000</v>
      </c>
      <c r="F193" s="249"/>
      <c r="G193" s="191" t="s">
        <v>102</v>
      </c>
      <c r="H193" s="110"/>
      <c r="I193" s="110">
        <v>5000</v>
      </c>
      <c r="J193" s="110"/>
      <c r="K193" s="110"/>
      <c r="L193" s="110"/>
      <c r="M193" s="110"/>
    </row>
    <row r="194" spans="1:14">
      <c r="A194" s="247">
        <v>44511</v>
      </c>
      <c r="B194" s="370">
        <v>44502</v>
      </c>
      <c r="C194" s="193" t="s">
        <v>1163</v>
      </c>
      <c r="D194" s="192">
        <v>24630</v>
      </c>
      <c r="E194" s="249">
        <v>67800</v>
      </c>
      <c r="F194" s="249"/>
      <c r="G194" s="371" t="s">
        <v>102</v>
      </c>
      <c r="H194" s="129"/>
      <c r="I194" s="129">
        <v>3000</v>
      </c>
      <c r="J194" s="129"/>
      <c r="K194" s="129"/>
      <c r="L194" s="129"/>
      <c r="M194" s="129"/>
    </row>
    <row r="195" spans="1:14">
      <c r="A195" s="247">
        <v>44511</v>
      </c>
      <c r="B195" s="370">
        <v>44517</v>
      </c>
      <c r="C195" s="193" t="s">
        <v>2115</v>
      </c>
      <c r="D195" s="192">
        <v>24631</v>
      </c>
      <c r="E195" s="249">
        <v>11229.81</v>
      </c>
      <c r="F195" s="249"/>
      <c r="G195" s="371" t="s">
        <v>1388</v>
      </c>
      <c r="H195" s="129"/>
      <c r="I195" s="129"/>
      <c r="J195" s="129"/>
      <c r="K195" s="129"/>
      <c r="L195" s="129"/>
      <c r="M195" s="129"/>
      <c r="N195" s="129"/>
    </row>
    <row r="196" spans="1:14">
      <c r="A196" s="247">
        <v>44512</v>
      </c>
      <c r="B196" s="370">
        <v>44517</v>
      </c>
      <c r="C196" s="193" t="s">
        <v>2116</v>
      </c>
      <c r="D196" s="192">
        <v>24632</v>
      </c>
      <c r="E196" s="249">
        <v>24422.01</v>
      </c>
      <c r="F196" s="249"/>
      <c r="G196" s="191" t="s">
        <v>1388</v>
      </c>
      <c r="H196" s="110"/>
      <c r="I196" s="110"/>
      <c r="J196" s="110"/>
      <c r="K196" s="110"/>
      <c r="L196" s="110"/>
      <c r="M196" s="110"/>
      <c r="N196" s="110"/>
    </row>
    <row r="197" spans="1:14">
      <c r="A197" s="247">
        <v>44512</v>
      </c>
      <c r="B197" s="370">
        <v>44517</v>
      </c>
      <c r="C197" s="193" t="s">
        <v>1147</v>
      </c>
      <c r="D197" s="192">
        <v>24633</v>
      </c>
      <c r="E197" s="249">
        <v>54000</v>
      </c>
      <c r="F197" s="249"/>
      <c r="G197" s="371" t="s">
        <v>102</v>
      </c>
      <c r="H197" s="129"/>
      <c r="I197" s="129"/>
      <c r="J197" s="129"/>
      <c r="K197" s="129"/>
      <c r="L197" s="129">
        <v>6000</v>
      </c>
      <c r="M197" s="129">
        <v>10800</v>
      </c>
      <c r="N197" s="129"/>
    </row>
    <row r="198" spans="1:14">
      <c r="A198" s="247">
        <v>44512</v>
      </c>
      <c r="B198" s="370">
        <v>44517</v>
      </c>
      <c r="C198" s="193" t="s">
        <v>2117</v>
      </c>
      <c r="D198" s="192">
        <v>24634</v>
      </c>
      <c r="E198" s="249">
        <v>108586.47</v>
      </c>
      <c r="F198" s="249"/>
      <c r="G198" s="191" t="s">
        <v>1388</v>
      </c>
      <c r="H198" s="110"/>
      <c r="I198" s="110"/>
      <c r="J198" s="110"/>
      <c r="K198" s="110"/>
      <c r="L198" s="110"/>
      <c r="M198" s="110"/>
      <c r="N198" s="110"/>
    </row>
    <row r="199" spans="1:14">
      <c r="A199" s="247">
        <v>44512</v>
      </c>
      <c r="B199" s="370">
        <v>44516</v>
      </c>
      <c r="C199" s="193" t="s">
        <v>2139</v>
      </c>
      <c r="D199" s="192">
        <v>24635</v>
      </c>
      <c r="E199" s="251">
        <v>64640.52</v>
      </c>
      <c r="F199" s="251">
        <f>+E199</f>
        <v>64640.52</v>
      </c>
      <c r="G199" s="371" t="s">
        <v>2140</v>
      </c>
      <c r="H199" s="129"/>
      <c r="I199" s="129">
        <v>2860.2</v>
      </c>
      <c r="J199" s="129"/>
      <c r="K199" s="129"/>
      <c r="L199" s="129"/>
      <c r="M199" s="129"/>
      <c r="N199" s="129"/>
    </row>
    <row r="200" spans="1:14">
      <c r="A200" s="328">
        <v>44515</v>
      </c>
      <c r="B200" s="370">
        <v>44517</v>
      </c>
      <c r="C200" s="193" t="s">
        <v>1142</v>
      </c>
      <c r="D200" s="192">
        <v>24636</v>
      </c>
      <c r="E200" s="249">
        <v>13500</v>
      </c>
      <c r="F200" s="249"/>
      <c r="G200" s="371" t="s">
        <v>102</v>
      </c>
      <c r="H200" s="129"/>
      <c r="I200" s="129"/>
      <c r="J200" s="129"/>
      <c r="K200" s="129"/>
      <c r="L200" s="129">
        <v>1500</v>
      </c>
      <c r="M200" s="129">
        <v>2700</v>
      </c>
      <c r="N200" s="129"/>
    </row>
    <row r="201" spans="1:14">
      <c r="A201" s="328">
        <v>44515</v>
      </c>
      <c r="B201" s="370">
        <v>44517</v>
      </c>
      <c r="C201" s="193" t="s">
        <v>1389</v>
      </c>
      <c r="D201" s="192">
        <v>24637</v>
      </c>
      <c r="E201" s="249">
        <v>767295</v>
      </c>
      <c r="F201" s="249"/>
      <c r="G201" s="197" t="s">
        <v>1390</v>
      </c>
    </row>
    <row r="202" spans="1:14">
      <c r="A202" s="328">
        <v>44515</v>
      </c>
      <c r="B202" s="370">
        <v>44518</v>
      </c>
      <c r="C202" s="193" t="s">
        <v>2118</v>
      </c>
      <c r="D202" s="192">
        <v>24638</v>
      </c>
      <c r="E202" s="249">
        <v>51609.14</v>
      </c>
      <c r="F202" s="249"/>
      <c r="G202" s="191" t="s">
        <v>1388</v>
      </c>
      <c r="H202" s="110"/>
      <c r="I202" s="110"/>
      <c r="J202" s="110"/>
      <c r="K202" s="110"/>
      <c r="L202" s="110"/>
      <c r="M202" s="110"/>
      <c r="N202" s="110"/>
    </row>
    <row r="203" spans="1:14">
      <c r="A203" s="328">
        <v>44515</v>
      </c>
      <c r="B203" s="370">
        <v>44518</v>
      </c>
      <c r="C203" s="193" t="s">
        <v>2119</v>
      </c>
      <c r="D203" s="192">
        <v>24639</v>
      </c>
      <c r="E203" s="249">
        <v>373834.79</v>
      </c>
      <c r="F203" s="249"/>
      <c r="G203" s="191" t="s">
        <v>1388</v>
      </c>
      <c r="H203" s="110"/>
      <c r="I203" s="110"/>
      <c r="J203" s="110"/>
      <c r="K203" s="110"/>
      <c r="L203" s="110"/>
      <c r="M203" s="110"/>
      <c r="N203" s="110"/>
    </row>
    <row r="204" spans="1:14">
      <c r="A204" s="328">
        <v>44515</v>
      </c>
      <c r="B204" s="370">
        <v>44518</v>
      </c>
      <c r="C204" s="193" t="s">
        <v>2120</v>
      </c>
      <c r="D204" s="192">
        <v>24640</v>
      </c>
      <c r="E204" s="249">
        <v>23168.7</v>
      </c>
      <c r="F204" s="249"/>
      <c r="G204" s="191" t="s">
        <v>1388</v>
      </c>
      <c r="H204" s="110"/>
      <c r="I204" s="110"/>
      <c r="J204" s="110"/>
      <c r="K204" s="110"/>
      <c r="L204" s="110"/>
      <c r="M204" s="110"/>
      <c r="N204" s="110"/>
    </row>
    <row r="205" spans="1:14">
      <c r="A205" s="328">
        <v>44515</v>
      </c>
      <c r="B205" s="370">
        <v>44517</v>
      </c>
      <c r="C205" s="193" t="s">
        <v>2121</v>
      </c>
      <c r="D205" s="192">
        <v>24641</v>
      </c>
      <c r="E205" s="249">
        <v>119811.17</v>
      </c>
      <c r="F205" s="249"/>
      <c r="G205" s="371" t="s">
        <v>1388</v>
      </c>
      <c r="H205" s="129"/>
      <c r="I205" s="129"/>
      <c r="J205" s="129"/>
      <c r="K205" s="129"/>
      <c r="L205" s="129"/>
      <c r="M205" s="129"/>
      <c r="N205" s="129"/>
    </row>
    <row r="206" spans="1:14">
      <c r="A206" s="328">
        <v>44515</v>
      </c>
      <c r="B206" s="370">
        <v>44519</v>
      </c>
      <c r="C206" s="193" t="s">
        <v>2122</v>
      </c>
      <c r="D206" s="192">
        <v>24643</v>
      </c>
      <c r="E206" s="249">
        <v>106792.03</v>
      </c>
      <c r="F206" s="249"/>
      <c r="G206" s="191" t="s">
        <v>1388</v>
      </c>
      <c r="H206" s="110"/>
      <c r="I206" s="110"/>
      <c r="J206" s="110"/>
      <c r="K206" s="110"/>
      <c r="L206" s="110"/>
      <c r="M206" s="110"/>
      <c r="N206" s="110"/>
    </row>
    <row r="207" spans="1:14">
      <c r="A207" s="328">
        <v>44515</v>
      </c>
      <c r="B207" s="370">
        <v>44517</v>
      </c>
      <c r="C207" s="193" t="s">
        <v>2123</v>
      </c>
      <c r="D207" s="192">
        <v>24644</v>
      </c>
      <c r="E207" s="249">
        <v>29013.35</v>
      </c>
      <c r="F207" s="249"/>
      <c r="G207" s="371" t="s">
        <v>1388</v>
      </c>
      <c r="H207" s="129"/>
      <c r="I207" s="129"/>
      <c r="J207" s="129"/>
      <c r="K207" s="129"/>
      <c r="L207" s="129"/>
      <c r="M207" s="129"/>
      <c r="N207" s="129"/>
    </row>
    <row r="208" spans="1:14">
      <c r="A208" s="328">
        <v>44516</v>
      </c>
      <c r="B208" s="370">
        <v>44518</v>
      </c>
      <c r="C208" s="193" t="s">
        <v>2124</v>
      </c>
      <c r="D208" s="192">
        <v>24645</v>
      </c>
      <c r="E208" s="249">
        <v>59729.35</v>
      </c>
      <c r="F208" s="249"/>
      <c r="G208" s="191" t="s">
        <v>1388</v>
      </c>
      <c r="H208" s="110"/>
      <c r="I208" s="110"/>
      <c r="J208" s="110"/>
      <c r="K208" s="110"/>
      <c r="L208" s="110"/>
      <c r="M208" s="110"/>
      <c r="N208" s="110"/>
    </row>
    <row r="209" spans="1:14">
      <c r="A209" s="328">
        <v>44516</v>
      </c>
      <c r="B209" s="370">
        <v>44524</v>
      </c>
      <c r="C209" s="193" t="s">
        <v>1812</v>
      </c>
      <c r="D209" s="192">
        <v>24646</v>
      </c>
      <c r="E209" s="249">
        <v>290591.02</v>
      </c>
      <c r="F209" s="249">
        <f>SUM(E207:E209)</f>
        <v>379333.72000000003</v>
      </c>
      <c r="G209" s="191" t="s">
        <v>1393</v>
      </c>
      <c r="H209" s="110"/>
      <c r="I209" s="110">
        <v>13503.3</v>
      </c>
      <c r="J209" s="110"/>
      <c r="K209" s="110"/>
      <c r="L209" s="110"/>
      <c r="M209" s="110"/>
      <c r="N209" s="110">
        <v>14583.56</v>
      </c>
    </row>
    <row r="210" spans="1:14">
      <c r="A210" s="328">
        <v>44516</v>
      </c>
      <c r="B210" s="370">
        <v>44517</v>
      </c>
      <c r="C210" s="193" t="s">
        <v>2135</v>
      </c>
      <c r="D210" s="192">
        <v>24647</v>
      </c>
      <c r="E210" s="249">
        <v>18000</v>
      </c>
      <c r="F210" s="249"/>
      <c r="G210" s="191" t="s">
        <v>102</v>
      </c>
      <c r="H210" s="110"/>
      <c r="I210" s="110"/>
      <c r="J210" s="110"/>
      <c r="K210" s="110"/>
      <c r="L210" s="110">
        <v>2000</v>
      </c>
      <c r="M210" s="110">
        <v>3600</v>
      </c>
      <c r="N210" s="110"/>
    </row>
    <row r="211" spans="1:14">
      <c r="A211" s="328">
        <v>44516</v>
      </c>
      <c r="B211" s="370">
        <v>44518</v>
      </c>
      <c r="C211" s="193" t="s">
        <v>2136</v>
      </c>
      <c r="D211" s="192">
        <v>24648</v>
      </c>
      <c r="E211" s="249">
        <v>22500</v>
      </c>
      <c r="F211" s="249"/>
      <c r="G211" s="191" t="s">
        <v>102</v>
      </c>
      <c r="H211" s="110"/>
      <c r="I211" s="110"/>
      <c r="J211" s="110"/>
      <c r="K211" s="110"/>
      <c r="L211" s="110">
        <v>2500</v>
      </c>
      <c r="M211" s="110">
        <v>4500</v>
      </c>
      <c r="N211" s="110"/>
    </row>
    <row r="212" spans="1:14">
      <c r="A212" s="328">
        <v>44516</v>
      </c>
      <c r="B212" s="370">
        <v>44518</v>
      </c>
      <c r="C212" s="193" t="s">
        <v>1809</v>
      </c>
      <c r="D212" s="192">
        <v>24651</v>
      </c>
      <c r="E212" s="249">
        <v>6500000</v>
      </c>
      <c r="F212" s="249">
        <f>SUM(E209:E212)</f>
        <v>6831091.0199999996</v>
      </c>
      <c r="G212" s="191" t="s">
        <v>1372</v>
      </c>
      <c r="H212" s="110"/>
      <c r="I212" s="110"/>
      <c r="J212" s="110"/>
      <c r="K212" s="110"/>
      <c r="L212" s="110"/>
      <c r="M212" s="110"/>
      <c r="N212" s="110"/>
    </row>
    <row r="213" spans="1:14">
      <c r="A213" s="328">
        <v>44516</v>
      </c>
      <c r="B213" s="370">
        <v>44519</v>
      </c>
      <c r="C213" s="193" t="s">
        <v>1122</v>
      </c>
      <c r="D213" s="192">
        <v>24652</v>
      </c>
      <c r="E213" s="249">
        <v>557243.46</v>
      </c>
      <c r="F213" s="249"/>
      <c r="G213" s="191" t="s">
        <v>1392</v>
      </c>
      <c r="H213" s="110"/>
      <c r="I213" s="110">
        <v>29328.61</v>
      </c>
      <c r="J213" s="110"/>
      <c r="K213" s="110"/>
      <c r="L213" s="110"/>
      <c r="M213" s="110"/>
      <c r="N213" s="110"/>
    </row>
    <row r="214" spans="1:14">
      <c r="A214" s="328">
        <v>44516</v>
      </c>
      <c r="B214" s="370">
        <v>44519</v>
      </c>
      <c r="C214" s="193" t="s">
        <v>2054</v>
      </c>
      <c r="D214" s="192">
        <v>24654</v>
      </c>
      <c r="E214" s="249">
        <v>40680</v>
      </c>
      <c r="F214" s="249">
        <f>SUM(E209:E214)</f>
        <v>7429014.4799999995</v>
      </c>
      <c r="G214" s="191" t="s">
        <v>705</v>
      </c>
      <c r="H214" s="110"/>
      <c r="I214" s="110">
        <v>1800</v>
      </c>
      <c r="J214" s="110"/>
      <c r="K214" s="110"/>
      <c r="L214" s="110"/>
      <c r="M214" s="110"/>
      <c r="N214" s="110"/>
    </row>
    <row r="215" spans="1:14">
      <c r="A215" s="328">
        <v>44516</v>
      </c>
      <c r="B215" s="370">
        <v>44519</v>
      </c>
      <c r="C215" s="193" t="s">
        <v>1842</v>
      </c>
      <c r="D215" s="192">
        <v>24655</v>
      </c>
      <c r="E215" s="249">
        <v>1265042.8700000001</v>
      </c>
      <c r="F215" s="249">
        <f>+E215</f>
        <v>1265042.8700000001</v>
      </c>
      <c r="G215" s="191" t="s">
        <v>1391</v>
      </c>
      <c r="H215" s="110"/>
      <c r="I215" s="110"/>
      <c r="J215" s="110"/>
      <c r="K215" s="110"/>
      <c r="L215" s="110"/>
      <c r="M215" s="110"/>
      <c r="N215" s="110"/>
    </row>
    <row r="216" spans="1:14">
      <c r="A216" s="328">
        <v>44516</v>
      </c>
      <c r="B216" s="370">
        <v>44517</v>
      </c>
      <c r="C216" s="193" t="s">
        <v>2125</v>
      </c>
      <c r="D216" s="192">
        <v>24656</v>
      </c>
      <c r="E216" s="249">
        <v>52177.35</v>
      </c>
      <c r="F216" s="249"/>
      <c r="G216" s="191" t="s">
        <v>1388</v>
      </c>
      <c r="H216" s="110"/>
      <c r="I216" s="110"/>
      <c r="J216" s="110"/>
      <c r="K216" s="110"/>
      <c r="L216" s="110"/>
      <c r="M216" s="110"/>
      <c r="N216" s="110"/>
    </row>
    <row r="217" spans="1:14">
      <c r="A217" s="328">
        <v>44516</v>
      </c>
      <c r="B217" s="370">
        <v>44524</v>
      </c>
      <c r="C217" s="193" t="s">
        <v>2126</v>
      </c>
      <c r="D217" s="192">
        <v>24657</v>
      </c>
      <c r="E217" s="249">
        <v>45483.77</v>
      </c>
      <c r="F217" s="249"/>
      <c r="G217" s="191" t="s">
        <v>1388</v>
      </c>
      <c r="H217" s="110"/>
      <c r="I217" s="110"/>
      <c r="J217" s="110"/>
      <c r="K217" s="110"/>
      <c r="L217" s="110"/>
      <c r="M217" s="110"/>
      <c r="N217" s="110"/>
    </row>
    <row r="218" spans="1:14">
      <c r="A218" s="328">
        <v>44516</v>
      </c>
      <c r="B218" s="370">
        <v>44524</v>
      </c>
      <c r="C218" s="193" t="s">
        <v>1149</v>
      </c>
      <c r="D218" s="192">
        <v>24661</v>
      </c>
      <c r="E218" s="249">
        <v>27000</v>
      </c>
      <c r="F218" s="249"/>
      <c r="G218" s="191" t="s">
        <v>102</v>
      </c>
      <c r="H218" s="110"/>
      <c r="I218" s="110"/>
      <c r="J218" s="110"/>
      <c r="K218" s="110"/>
      <c r="L218" s="110">
        <v>3000</v>
      </c>
      <c r="M218" s="110">
        <v>5400</v>
      </c>
    </row>
    <row r="219" spans="1:14">
      <c r="A219" s="328">
        <v>44516</v>
      </c>
      <c r="B219" s="370">
        <v>44517</v>
      </c>
      <c r="C219" s="193" t="s">
        <v>1389</v>
      </c>
      <c r="D219" s="192">
        <v>24662</v>
      </c>
      <c r="E219" s="249">
        <v>810500</v>
      </c>
      <c r="F219" s="249"/>
      <c r="G219" s="197" t="s">
        <v>1390</v>
      </c>
    </row>
    <row r="220" spans="1:14">
      <c r="A220" s="328">
        <v>44517</v>
      </c>
      <c r="B220" s="370">
        <v>44519</v>
      </c>
      <c r="C220" s="193" t="s">
        <v>2136</v>
      </c>
      <c r="D220" s="192">
        <v>24663</v>
      </c>
      <c r="E220" s="249">
        <v>112500</v>
      </c>
      <c r="F220" s="249"/>
      <c r="G220" s="191" t="s">
        <v>102</v>
      </c>
      <c r="H220" s="110"/>
      <c r="I220" s="110"/>
      <c r="J220" s="110"/>
      <c r="K220" s="110"/>
      <c r="L220" s="110">
        <v>12500</v>
      </c>
      <c r="M220" s="110">
        <v>22500</v>
      </c>
    </row>
    <row r="221" spans="1:14">
      <c r="A221" s="328">
        <v>44517</v>
      </c>
      <c r="B221" s="370">
        <v>44519</v>
      </c>
      <c r="C221" s="193" t="s">
        <v>1103</v>
      </c>
      <c r="D221" s="192">
        <v>24664</v>
      </c>
      <c r="E221" s="249">
        <v>1596000</v>
      </c>
      <c r="F221" s="249"/>
      <c r="G221" s="191" t="s">
        <v>1868</v>
      </c>
      <c r="H221" s="110"/>
      <c r="I221" s="110">
        <v>84000</v>
      </c>
      <c r="J221" s="110"/>
      <c r="K221" s="110"/>
      <c r="L221" s="110"/>
      <c r="M221" s="110"/>
    </row>
    <row r="222" spans="1:14">
      <c r="A222" s="328">
        <v>44517</v>
      </c>
      <c r="B222" s="370">
        <v>44523</v>
      </c>
      <c r="C222" s="193" t="s">
        <v>1114</v>
      </c>
      <c r="D222" s="192">
        <v>24665</v>
      </c>
      <c r="E222" s="249">
        <v>37968</v>
      </c>
      <c r="F222" s="249"/>
      <c r="G222" s="191" t="s">
        <v>962</v>
      </c>
      <c r="H222" s="110"/>
      <c r="I222" s="110">
        <v>1680</v>
      </c>
      <c r="J222" s="110"/>
      <c r="K222" s="110"/>
      <c r="L222" s="110"/>
      <c r="M222" s="110"/>
    </row>
    <row r="223" spans="1:14">
      <c r="A223" s="328">
        <v>44517</v>
      </c>
      <c r="B223" s="370">
        <v>44510</v>
      </c>
      <c r="C223" s="193" t="s">
        <v>1455</v>
      </c>
      <c r="D223" s="192">
        <v>24667</v>
      </c>
      <c r="E223" s="249">
        <v>18000</v>
      </c>
      <c r="F223" s="249"/>
      <c r="G223" s="191" t="s">
        <v>102</v>
      </c>
      <c r="H223" s="110"/>
      <c r="I223" s="110"/>
      <c r="J223" s="110"/>
      <c r="K223" s="110"/>
      <c r="L223" s="110">
        <v>2000</v>
      </c>
      <c r="M223" s="110">
        <v>3600</v>
      </c>
    </row>
    <row r="224" spans="1:14">
      <c r="A224" s="328">
        <v>44518</v>
      </c>
      <c r="B224" s="370">
        <v>44517</v>
      </c>
      <c r="C224" s="193" t="s">
        <v>2079</v>
      </c>
      <c r="D224" s="192">
        <v>24671</v>
      </c>
      <c r="E224" s="249">
        <v>56500</v>
      </c>
      <c r="F224" s="249"/>
      <c r="G224" s="191" t="s">
        <v>102</v>
      </c>
      <c r="H224" s="110"/>
      <c r="I224" s="110">
        <v>2500</v>
      </c>
      <c r="J224" s="110"/>
      <c r="K224" s="110"/>
      <c r="L224" s="110"/>
      <c r="M224" s="110"/>
    </row>
    <row r="225" spans="1:14">
      <c r="A225" s="328">
        <v>44518</v>
      </c>
      <c r="B225" s="370">
        <v>44517</v>
      </c>
      <c r="C225" s="193" t="s">
        <v>1150</v>
      </c>
      <c r="D225" s="192">
        <v>24672</v>
      </c>
      <c r="E225" s="249">
        <v>27000</v>
      </c>
      <c r="F225" s="249"/>
      <c r="G225" s="191" t="s">
        <v>102</v>
      </c>
      <c r="H225" s="110"/>
      <c r="I225" s="110"/>
      <c r="J225" s="110"/>
      <c r="K225" s="110"/>
      <c r="L225" s="110">
        <v>3000</v>
      </c>
      <c r="M225" s="110">
        <v>5400</v>
      </c>
    </row>
    <row r="226" spans="1:14">
      <c r="A226" s="328">
        <v>44518</v>
      </c>
      <c r="B226" s="370">
        <v>44517</v>
      </c>
      <c r="C226" s="193" t="s">
        <v>2130</v>
      </c>
      <c r="D226" s="192">
        <v>24673</v>
      </c>
      <c r="E226" s="249">
        <v>27000</v>
      </c>
      <c r="F226" s="249"/>
      <c r="G226" s="191" t="s">
        <v>102</v>
      </c>
      <c r="H226" s="110"/>
      <c r="I226" s="110"/>
      <c r="J226" s="110"/>
      <c r="K226" s="110"/>
      <c r="L226" s="110">
        <v>3000</v>
      </c>
      <c r="M226" s="110">
        <v>5400</v>
      </c>
    </row>
    <row r="227" spans="1:14">
      <c r="A227" s="328">
        <v>44518</v>
      </c>
      <c r="B227" s="370">
        <v>44524</v>
      </c>
      <c r="C227" s="193" t="s">
        <v>2134</v>
      </c>
      <c r="D227" s="192">
        <v>24674</v>
      </c>
      <c r="E227" s="249">
        <v>22600</v>
      </c>
      <c r="F227" s="249"/>
      <c r="G227" s="191" t="s">
        <v>102</v>
      </c>
      <c r="H227" s="110"/>
      <c r="I227" s="110">
        <v>1000</v>
      </c>
      <c r="J227" s="110"/>
      <c r="K227" s="110"/>
      <c r="L227" s="110"/>
      <c r="M227" s="110"/>
    </row>
    <row r="228" spans="1:14">
      <c r="A228" s="328">
        <v>44518</v>
      </c>
      <c r="B228" s="370">
        <v>44523</v>
      </c>
      <c r="C228" s="193" t="s">
        <v>1842</v>
      </c>
      <c r="D228" s="192">
        <v>24675</v>
      </c>
      <c r="E228" s="249">
        <v>221416</v>
      </c>
      <c r="F228" s="249"/>
      <c r="G228" s="191" t="s">
        <v>1392</v>
      </c>
      <c r="H228" s="110"/>
      <c r="I228" s="110"/>
      <c r="J228" s="110"/>
      <c r="K228" s="110"/>
      <c r="L228" s="110"/>
      <c r="M228" s="110"/>
    </row>
    <row r="229" spans="1:14">
      <c r="A229" s="328">
        <v>44518</v>
      </c>
      <c r="B229" s="370">
        <v>44517</v>
      </c>
      <c r="C229" s="193" t="s">
        <v>1096</v>
      </c>
      <c r="D229" s="192">
        <v>24676</v>
      </c>
      <c r="E229" s="249">
        <v>764012</v>
      </c>
      <c r="F229" s="249">
        <f>SUM(E226:E229)</f>
        <v>1035028</v>
      </c>
      <c r="G229" s="191" t="s">
        <v>1377</v>
      </c>
      <c r="H229" s="110"/>
      <c r="I229" s="110">
        <v>3588</v>
      </c>
      <c r="J229" s="110"/>
      <c r="K229" s="110"/>
      <c r="L229" s="110"/>
      <c r="M229" s="110"/>
      <c r="N229" s="110"/>
    </row>
    <row r="230" spans="1:14">
      <c r="A230" s="328">
        <v>44518</v>
      </c>
      <c r="B230" s="370">
        <v>44523</v>
      </c>
      <c r="C230" s="193" t="s">
        <v>1184</v>
      </c>
      <c r="D230" s="192">
        <v>24677</v>
      </c>
      <c r="E230" s="249">
        <v>983886.83</v>
      </c>
      <c r="F230" s="249">
        <f>SUM(E228:E230)</f>
        <v>1969314.83</v>
      </c>
      <c r="G230" s="191" t="s">
        <v>1868</v>
      </c>
      <c r="H230" s="110">
        <f>873328-43666.4</f>
        <v>829661.6</v>
      </c>
      <c r="I230" s="110">
        <v>43666.400000000001</v>
      </c>
      <c r="J230" s="110"/>
      <c r="K230" s="110"/>
      <c r="L230" s="110"/>
      <c r="M230" s="110"/>
      <c r="N230" s="110"/>
    </row>
    <row r="231" spans="1:14">
      <c r="A231" s="328">
        <v>44518</v>
      </c>
      <c r="B231" s="370">
        <v>44523</v>
      </c>
      <c r="C231" s="193" t="s">
        <v>1096</v>
      </c>
      <c r="D231" s="192">
        <v>24678</v>
      </c>
      <c r="E231" s="249">
        <v>275469.55</v>
      </c>
      <c r="F231" s="249">
        <f>SUM(E229:E231)</f>
        <v>2023368.3800000001</v>
      </c>
      <c r="G231" s="191" t="s">
        <v>1894</v>
      </c>
      <c r="H231" s="110">
        <f>169131.76-7166.6-7739.93</f>
        <v>154225.23000000001</v>
      </c>
      <c r="I231" s="110">
        <v>7166.6</v>
      </c>
      <c r="J231" s="110"/>
      <c r="K231" s="110"/>
      <c r="L231" s="110"/>
      <c r="M231" s="110"/>
      <c r="N231" s="110">
        <v>7739.93</v>
      </c>
    </row>
    <row r="232" spans="1:14">
      <c r="A232" s="328">
        <v>44518</v>
      </c>
      <c r="B232" s="370">
        <v>44518</v>
      </c>
      <c r="C232" s="193" t="s">
        <v>1389</v>
      </c>
      <c r="D232" s="192">
        <v>24680</v>
      </c>
      <c r="E232" s="249">
        <v>3500000</v>
      </c>
      <c r="F232" s="249"/>
      <c r="G232" s="197" t="s">
        <v>1390</v>
      </c>
    </row>
    <row r="233" spans="1:14">
      <c r="A233" s="328">
        <v>44519</v>
      </c>
      <c r="B233" s="370">
        <v>44524</v>
      </c>
      <c r="C233" s="193" t="s">
        <v>1313</v>
      </c>
      <c r="D233" s="192">
        <v>24681</v>
      </c>
      <c r="E233" s="249">
        <v>295283</v>
      </c>
      <c r="F233" s="249">
        <f>SUM(E230:E233)</f>
        <v>5054639.38</v>
      </c>
      <c r="G233" s="197" t="s">
        <v>1392</v>
      </c>
    </row>
    <row r="234" spans="1:14">
      <c r="A234" s="328">
        <v>44519</v>
      </c>
      <c r="B234" s="370">
        <v>44518</v>
      </c>
      <c r="C234" s="193" t="s">
        <v>2137</v>
      </c>
      <c r="D234" s="192">
        <v>24683</v>
      </c>
      <c r="E234" s="251">
        <v>22600</v>
      </c>
      <c r="F234" s="251">
        <f>SUM(E190:E234)</f>
        <v>19744886.190000001</v>
      </c>
      <c r="G234" s="191" t="s">
        <v>102</v>
      </c>
      <c r="H234" s="110"/>
      <c r="I234" s="110">
        <v>1000</v>
      </c>
    </row>
    <row r="235" spans="1:14">
      <c r="A235" s="328">
        <v>44522</v>
      </c>
      <c r="B235" s="370">
        <v>44523</v>
      </c>
      <c r="C235" s="193" t="s">
        <v>1389</v>
      </c>
      <c r="D235" s="192">
        <v>24684</v>
      </c>
      <c r="E235" s="249">
        <v>904225</v>
      </c>
      <c r="F235" s="249"/>
      <c r="G235" s="191" t="s">
        <v>1390</v>
      </c>
    </row>
    <row r="236" spans="1:14">
      <c r="A236" s="328">
        <v>44523</v>
      </c>
      <c r="B236" s="370">
        <v>44524</v>
      </c>
      <c r="C236" s="193" t="s">
        <v>1348</v>
      </c>
      <c r="D236" s="192">
        <v>24685</v>
      </c>
      <c r="E236" s="249">
        <v>1208415</v>
      </c>
      <c r="F236" s="249"/>
      <c r="G236" s="191" t="s">
        <v>1387</v>
      </c>
    </row>
    <row r="237" spans="1:14">
      <c r="A237" s="328">
        <v>44523</v>
      </c>
      <c r="B237" s="370">
        <v>44524</v>
      </c>
      <c r="C237" s="193" t="s">
        <v>2127</v>
      </c>
      <c r="D237" s="192">
        <v>24686</v>
      </c>
      <c r="E237" s="249">
        <v>3000000</v>
      </c>
      <c r="F237" s="249"/>
      <c r="G237" s="191" t="s">
        <v>1388</v>
      </c>
    </row>
    <row r="238" spans="1:14">
      <c r="A238" s="328">
        <v>44523</v>
      </c>
      <c r="B238" s="370">
        <v>44525</v>
      </c>
      <c r="C238" s="193" t="s">
        <v>2128</v>
      </c>
      <c r="D238" s="192">
        <v>24687</v>
      </c>
      <c r="E238" s="249">
        <v>271989.59999999998</v>
      </c>
      <c r="F238" s="249">
        <f>SUM(E173:E238)</f>
        <v>25894965.790000003</v>
      </c>
      <c r="G238" s="191" t="s">
        <v>1388</v>
      </c>
    </row>
    <row r="239" spans="1:14">
      <c r="A239" s="328">
        <v>44523</v>
      </c>
      <c r="B239" s="370">
        <v>44524</v>
      </c>
      <c r="C239" s="193" t="s">
        <v>1389</v>
      </c>
      <c r="D239" s="192">
        <v>24688</v>
      </c>
      <c r="E239" s="249">
        <v>453260</v>
      </c>
      <c r="F239" s="249"/>
      <c r="G239" s="191" t="s">
        <v>1390</v>
      </c>
    </row>
    <row r="240" spans="1:14">
      <c r="A240" s="328">
        <v>44524</v>
      </c>
      <c r="B240" s="370">
        <v>44524</v>
      </c>
      <c r="C240" s="193" t="s">
        <v>1389</v>
      </c>
      <c r="D240" s="192">
        <v>24689</v>
      </c>
      <c r="E240" s="249">
        <v>1500000</v>
      </c>
      <c r="F240" s="249"/>
      <c r="G240" s="191" t="s">
        <v>1390</v>
      </c>
    </row>
    <row r="241" spans="1:14">
      <c r="A241" s="328">
        <v>44525</v>
      </c>
      <c r="B241" s="370">
        <v>44526</v>
      </c>
      <c r="C241" s="193" t="s">
        <v>1224</v>
      </c>
      <c r="D241" s="192">
        <v>24690</v>
      </c>
      <c r="E241" s="110">
        <v>12000</v>
      </c>
      <c r="F241" s="129">
        <f>+E241+E240</f>
        <v>1512000</v>
      </c>
      <c r="G241" s="191" t="s">
        <v>162</v>
      </c>
      <c r="H241" s="110">
        <v>12000</v>
      </c>
    </row>
    <row r="242" spans="1:14">
      <c r="A242" s="328">
        <v>44525</v>
      </c>
      <c r="B242" s="370">
        <v>44526</v>
      </c>
      <c r="C242" s="193" t="s">
        <v>1224</v>
      </c>
      <c r="D242" s="192">
        <v>24690</v>
      </c>
      <c r="E242" s="110">
        <f>20158.77+40643.38</f>
        <v>60802.149999999994</v>
      </c>
      <c r="F242" s="129">
        <f>+E242+E241</f>
        <v>72802.149999999994</v>
      </c>
      <c r="G242" s="191" t="s">
        <v>1383</v>
      </c>
      <c r="H242" s="110">
        <f>20158.77+40643.38</f>
        <v>60802.149999999994</v>
      </c>
    </row>
    <row r="243" spans="1:14">
      <c r="A243" s="328">
        <v>44525</v>
      </c>
      <c r="B243" s="370">
        <v>44526</v>
      </c>
      <c r="C243" s="193" t="s">
        <v>1224</v>
      </c>
      <c r="D243" s="192">
        <v>24690</v>
      </c>
      <c r="E243" s="110">
        <f>28555.64+80464.46+8346.45</f>
        <v>117366.55</v>
      </c>
      <c r="F243" s="129">
        <f>SUM(E240:E243)</f>
        <v>1690168.7</v>
      </c>
      <c r="G243" s="191" t="s">
        <v>2058</v>
      </c>
      <c r="H243" s="110">
        <f>28555.64+80464.46+8346.45</f>
        <v>117366.55</v>
      </c>
    </row>
    <row r="244" spans="1:14">
      <c r="A244" s="328">
        <v>44525</v>
      </c>
      <c r="B244" s="370">
        <v>44526</v>
      </c>
      <c r="C244" s="193" t="s">
        <v>1224</v>
      </c>
      <c r="D244" s="192">
        <v>24690</v>
      </c>
      <c r="E244" s="110">
        <v>17642.990000000002</v>
      </c>
      <c r="F244" s="129">
        <f>SUM(E240:E244)</f>
        <v>1707811.69</v>
      </c>
      <c r="G244" s="191" t="s">
        <v>962</v>
      </c>
      <c r="H244" s="110">
        <v>17642.990000000002</v>
      </c>
    </row>
    <row r="245" spans="1:14">
      <c r="A245" s="328">
        <v>44525</v>
      </c>
      <c r="B245" s="370">
        <v>44526</v>
      </c>
      <c r="C245" s="193" t="s">
        <v>1224</v>
      </c>
      <c r="D245" s="192">
        <v>24690</v>
      </c>
      <c r="E245" s="110">
        <v>11800</v>
      </c>
      <c r="F245" s="129">
        <f>SUM(E242:E245)</f>
        <v>207611.69</v>
      </c>
      <c r="G245" s="191" t="s">
        <v>1871</v>
      </c>
      <c r="H245" s="110">
        <v>11800</v>
      </c>
    </row>
    <row r="246" spans="1:14">
      <c r="A246" s="328">
        <v>44525</v>
      </c>
      <c r="B246" s="370">
        <v>44526</v>
      </c>
      <c r="C246" s="193" t="s">
        <v>1224</v>
      </c>
      <c r="D246" s="192">
        <v>24690</v>
      </c>
      <c r="E246" s="110">
        <v>18539.919999999998</v>
      </c>
      <c r="F246" s="129">
        <f>+E246</f>
        <v>18539.919999999998</v>
      </c>
      <c r="G246" s="191" t="s">
        <v>2138</v>
      </c>
      <c r="H246" s="110">
        <v>18539.919999999998</v>
      </c>
    </row>
    <row r="247" spans="1:14">
      <c r="A247" s="328">
        <v>44525</v>
      </c>
      <c r="B247" s="370">
        <v>44526</v>
      </c>
      <c r="C247" s="193" t="s">
        <v>1224</v>
      </c>
      <c r="D247" s="192">
        <v>24690</v>
      </c>
      <c r="E247" s="110">
        <v>1632.49</v>
      </c>
      <c r="F247" s="129">
        <f>+E247</f>
        <v>1632.49</v>
      </c>
      <c r="G247" s="191" t="s">
        <v>24</v>
      </c>
      <c r="H247" s="110">
        <v>1632.49</v>
      </c>
    </row>
    <row r="248" spans="1:14">
      <c r="A248" s="328">
        <v>44526</v>
      </c>
      <c r="B248" s="370">
        <v>44526</v>
      </c>
      <c r="C248" s="193" t="s">
        <v>1389</v>
      </c>
      <c r="D248" s="192">
        <v>24691</v>
      </c>
      <c r="E248" s="251">
        <v>1600000</v>
      </c>
      <c r="F248" s="251">
        <f>SUM(E212:E248)</f>
        <v>26436036.529999997</v>
      </c>
      <c r="G248" s="197" t="s">
        <v>1390</v>
      </c>
    </row>
    <row r="249" spans="1:14">
      <c r="A249" s="247"/>
      <c r="B249" s="370"/>
      <c r="C249" s="193" t="s">
        <v>2059</v>
      </c>
      <c r="D249" s="192"/>
      <c r="E249" s="249">
        <v>-4729.05</v>
      </c>
      <c r="F249" s="249"/>
      <c r="G249" s="191" t="s">
        <v>120</v>
      </c>
      <c r="H249" s="110"/>
      <c r="I249" s="110"/>
      <c r="J249" s="110"/>
      <c r="K249" s="110"/>
      <c r="L249" s="110"/>
      <c r="M249" s="110"/>
      <c r="N249" s="110"/>
    </row>
    <row r="250" spans="1:14" ht="15.75">
      <c r="C250" s="252" t="s">
        <v>1396</v>
      </c>
      <c r="E250" s="253">
        <f>SUM(E8:E249)</f>
        <v>330401705.49000013</v>
      </c>
      <c r="F250" s="253">
        <f>SUM(F8:F249)</f>
        <v>136555797.56</v>
      </c>
      <c r="G250" s="254">
        <f>+F250-F187</f>
        <v>136555797.56</v>
      </c>
    </row>
    <row r="251" spans="1:14">
      <c r="E251" s="255"/>
      <c r="F251" s="255"/>
    </row>
    <row r="252" spans="1:14">
      <c r="E252" s="255"/>
      <c r="F252" s="255">
        <f>+E250-F250</f>
        <v>193845907.93000013</v>
      </c>
    </row>
    <row r="253" spans="1:14">
      <c r="E253" s="255"/>
      <c r="F253" s="255"/>
    </row>
    <row r="254" spans="1:14" ht="15.75">
      <c r="C254" s="256" t="s">
        <v>1397</v>
      </c>
      <c r="E254" s="255"/>
      <c r="F254" s="255"/>
    </row>
    <row r="255" spans="1:14">
      <c r="A255" s="370">
        <v>44529</v>
      </c>
      <c r="B255" s="197"/>
      <c r="C255" s="262" t="s">
        <v>1398</v>
      </c>
      <c r="D255" s="306">
        <v>24976469818</v>
      </c>
      <c r="E255" s="373">
        <v>810000</v>
      </c>
      <c r="F255" s="373"/>
    </row>
    <row r="256" spans="1:14">
      <c r="A256" s="370">
        <v>44526</v>
      </c>
      <c r="B256" s="197"/>
      <c r="C256" s="262" t="s">
        <v>1398</v>
      </c>
      <c r="D256" s="306">
        <v>24952007190</v>
      </c>
      <c r="E256" s="373">
        <v>3600000</v>
      </c>
      <c r="F256" s="373"/>
    </row>
    <row r="257" spans="1:6">
      <c r="A257" s="370">
        <v>44526</v>
      </c>
      <c r="B257" s="197"/>
      <c r="C257" s="259" t="s">
        <v>1398</v>
      </c>
      <c r="D257" s="306">
        <v>24951624133</v>
      </c>
      <c r="E257" s="373">
        <v>10000</v>
      </c>
      <c r="F257" s="373"/>
    </row>
    <row r="258" spans="1:6">
      <c r="A258" s="370">
        <v>44525</v>
      </c>
      <c r="B258" s="197"/>
      <c r="C258" s="259" t="s">
        <v>1398</v>
      </c>
      <c r="D258" s="306">
        <v>24944287335</v>
      </c>
      <c r="E258" s="373">
        <v>2400000</v>
      </c>
      <c r="F258" s="373"/>
    </row>
    <row r="259" spans="1:6">
      <c r="A259" s="370">
        <v>44524</v>
      </c>
      <c r="B259" s="197"/>
      <c r="C259" s="259" t="s">
        <v>1398</v>
      </c>
      <c r="D259" s="306">
        <v>24931770949</v>
      </c>
      <c r="E259" s="373">
        <v>2450000</v>
      </c>
      <c r="F259" s="373"/>
    </row>
    <row r="260" spans="1:6">
      <c r="A260" s="370">
        <v>44524</v>
      </c>
      <c r="B260" s="197"/>
      <c r="C260" s="262" t="s">
        <v>1398</v>
      </c>
      <c r="D260" s="306">
        <v>24930053106</v>
      </c>
      <c r="E260" s="373">
        <v>1000000</v>
      </c>
      <c r="F260" s="373"/>
    </row>
    <row r="261" spans="1:6">
      <c r="A261" s="370">
        <v>44524</v>
      </c>
      <c r="B261" s="197"/>
      <c r="C261" s="262" t="s">
        <v>1398</v>
      </c>
      <c r="D261" s="306">
        <v>24928771529</v>
      </c>
      <c r="E261" s="373">
        <v>300000</v>
      </c>
      <c r="F261" s="373"/>
    </row>
    <row r="262" spans="1:6">
      <c r="A262" s="370">
        <v>44523</v>
      </c>
      <c r="B262" s="197"/>
      <c r="C262" s="259" t="s">
        <v>1398</v>
      </c>
      <c r="D262" s="306">
        <v>24917814752</v>
      </c>
      <c r="E262" s="373">
        <v>1400000</v>
      </c>
      <c r="F262" s="373"/>
    </row>
    <row r="263" spans="1:6">
      <c r="A263" s="370">
        <v>44522</v>
      </c>
      <c r="B263" s="197"/>
      <c r="C263" s="262" t="s">
        <v>1398</v>
      </c>
      <c r="D263" s="306">
        <v>24893238309</v>
      </c>
      <c r="E263" s="373">
        <v>2350000</v>
      </c>
      <c r="F263" s="373"/>
    </row>
    <row r="264" spans="1:6">
      <c r="A264" s="370">
        <v>44519</v>
      </c>
      <c r="B264" s="197"/>
      <c r="C264" s="259" t="s">
        <v>1398</v>
      </c>
      <c r="D264" s="306">
        <v>24885156501</v>
      </c>
      <c r="E264" s="373">
        <v>1200000</v>
      </c>
      <c r="F264" s="373"/>
    </row>
    <row r="265" spans="1:6">
      <c r="A265" s="370">
        <v>44519</v>
      </c>
      <c r="B265" s="197"/>
      <c r="C265" s="262" t="s">
        <v>1398</v>
      </c>
      <c r="D265" s="306">
        <v>24883998712</v>
      </c>
      <c r="E265" s="373">
        <v>4100000</v>
      </c>
      <c r="F265" s="373"/>
    </row>
    <row r="266" spans="1:6">
      <c r="A266" s="370">
        <v>44518</v>
      </c>
      <c r="B266" s="197"/>
      <c r="C266" s="262" t="s">
        <v>1398</v>
      </c>
      <c r="D266" s="306">
        <v>24877521475</v>
      </c>
      <c r="E266" s="373">
        <v>600000</v>
      </c>
      <c r="F266" s="373"/>
    </row>
    <row r="267" spans="1:6">
      <c r="A267" s="370">
        <v>44517</v>
      </c>
      <c r="B267" s="197"/>
      <c r="C267" s="259" t="s">
        <v>1398</v>
      </c>
      <c r="D267" s="306">
        <v>24867820742</v>
      </c>
      <c r="E267" s="373">
        <v>200000</v>
      </c>
      <c r="F267" s="373"/>
    </row>
    <row r="268" spans="1:6">
      <c r="A268" s="370">
        <v>44517</v>
      </c>
      <c r="B268" s="197"/>
      <c r="C268" s="262" t="s">
        <v>1398</v>
      </c>
      <c r="D268" s="306">
        <v>24865786760</v>
      </c>
      <c r="E268" s="373">
        <v>2200000</v>
      </c>
      <c r="F268" s="373"/>
    </row>
    <row r="269" spans="1:6">
      <c r="A269" s="370">
        <v>44512</v>
      </c>
      <c r="B269" s="197"/>
      <c r="C269" s="259" t="s">
        <v>1398</v>
      </c>
      <c r="D269" s="306">
        <v>24824630271</v>
      </c>
      <c r="E269" s="373">
        <v>1800000</v>
      </c>
      <c r="F269" s="373"/>
    </row>
    <row r="270" spans="1:6">
      <c r="A270" s="370">
        <v>44512</v>
      </c>
      <c r="B270" s="197"/>
      <c r="C270" s="259" t="s">
        <v>1398</v>
      </c>
      <c r="D270" s="306">
        <v>24823215785</v>
      </c>
      <c r="E270" s="373">
        <v>3500000</v>
      </c>
      <c r="F270" s="373"/>
    </row>
    <row r="271" spans="1:6">
      <c r="A271" s="370">
        <v>44511</v>
      </c>
      <c r="B271" s="197"/>
      <c r="C271" s="259" t="s">
        <v>1398</v>
      </c>
      <c r="D271" s="306">
        <v>24816669341</v>
      </c>
      <c r="E271" s="373">
        <v>30000</v>
      </c>
      <c r="F271" s="373"/>
    </row>
    <row r="272" spans="1:6">
      <c r="A272" s="370">
        <v>44511</v>
      </c>
      <c r="B272" s="197"/>
      <c r="C272" s="262" t="s">
        <v>1398</v>
      </c>
      <c r="D272" s="306">
        <v>24816544073</v>
      </c>
      <c r="E272" s="373">
        <v>655000</v>
      </c>
      <c r="F272" s="373"/>
    </row>
    <row r="273" spans="1:8">
      <c r="A273" s="370">
        <v>44510</v>
      </c>
      <c r="B273" s="197"/>
      <c r="C273" s="259" t="s">
        <v>1398</v>
      </c>
      <c r="D273" s="306">
        <v>24809208508</v>
      </c>
      <c r="E273" s="373">
        <v>2250000</v>
      </c>
      <c r="F273" s="373"/>
    </row>
    <row r="274" spans="1:8">
      <c r="A274" s="370">
        <v>44505</v>
      </c>
      <c r="B274" s="197"/>
      <c r="C274" s="262" t="s">
        <v>1398</v>
      </c>
      <c r="D274" s="306">
        <v>24775528048</v>
      </c>
      <c r="E274" s="373">
        <v>4950000</v>
      </c>
      <c r="F274" s="373"/>
    </row>
    <row r="275" spans="1:8">
      <c r="A275" s="370">
        <v>44503</v>
      </c>
      <c r="B275" s="197"/>
      <c r="C275" s="259" t="s">
        <v>1398</v>
      </c>
      <c r="D275" s="306">
        <v>24759187769</v>
      </c>
      <c r="E275" s="373">
        <v>750000</v>
      </c>
      <c r="F275" s="373"/>
    </row>
    <row r="276" spans="1:8">
      <c r="A276" s="370">
        <v>44503</v>
      </c>
      <c r="B276" s="197"/>
      <c r="C276" s="262" t="s">
        <v>1398</v>
      </c>
      <c r="D276" s="306">
        <v>24758016337</v>
      </c>
      <c r="E276" s="373">
        <v>750000</v>
      </c>
      <c r="F276" s="373"/>
    </row>
    <row r="277" spans="1:8">
      <c r="A277" s="370">
        <v>44503</v>
      </c>
      <c r="B277" s="197"/>
      <c r="C277" s="262" t="s">
        <v>1398</v>
      </c>
      <c r="D277" s="306">
        <v>24755789691</v>
      </c>
      <c r="E277" s="373">
        <v>200000</v>
      </c>
      <c r="F277" s="373"/>
    </row>
    <row r="278" spans="1:8">
      <c r="A278" s="370">
        <v>44501</v>
      </c>
      <c r="B278" s="197"/>
      <c r="C278" s="262" t="s">
        <v>1398</v>
      </c>
      <c r="D278" s="306">
        <v>24738411183</v>
      </c>
      <c r="E278" s="374">
        <v>200000</v>
      </c>
      <c r="F278" s="375"/>
    </row>
    <row r="279" spans="1:8" ht="15.75">
      <c r="A279" s="265"/>
      <c r="C279" s="252" t="s">
        <v>1396</v>
      </c>
      <c r="D279" s="266"/>
      <c r="E279" s="267">
        <f>SUM(E255:E278)</f>
        <v>37705000</v>
      </c>
      <c r="F279" s="267"/>
    </row>
    <row r="280" spans="1:8" ht="15.75">
      <c r="C280" s="252"/>
      <c r="E280" s="255"/>
      <c r="F280" s="255"/>
    </row>
    <row r="281" spans="1:8" ht="15.75">
      <c r="C281" s="252"/>
      <c r="E281" s="255"/>
      <c r="F281" s="255"/>
    </row>
    <row r="282" spans="1:8" ht="15.75">
      <c r="C282" s="252"/>
      <c r="E282" s="255"/>
      <c r="F282" s="255"/>
    </row>
    <row r="283" spans="1:8">
      <c r="C283" s="268" t="s">
        <v>1399</v>
      </c>
      <c r="E283" s="255"/>
      <c r="F283" s="255"/>
    </row>
    <row r="284" spans="1:8">
      <c r="A284" s="370">
        <v>44501</v>
      </c>
      <c r="C284" s="259" t="s">
        <v>2141</v>
      </c>
      <c r="D284" s="306">
        <v>999138223</v>
      </c>
      <c r="E284" s="373">
        <v>1015412.55</v>
      </c>
      <c r="F284" s="373"/>
      <c r="G284" s="270"/>
      <c r="H284" s="271"/>
    </row>
    <row r="285" spans="1:8">
      <c r="A285" s="370">
        <v>44510</v>
      </c>
      <c r="C285" s="259" t="s">
        <v>2141</v>
      </c>
      <c r="D285" s="306">
        <v>999138233</v>
      </c>
      <c r="E285" s="373">
        <v>134145.94</v>
      </c>
      <c r="F285" s="373"/>
      <c r="G285" s="373"/>
      <c r="H285" s="271"/>
    </row>
    <row r="286" spans="1:8" ht="14.25" customHeight="1">
      <c r="A286" s="370">
        <v>44522</v>
      </c>
      <c r="C286" s="262" t="s">
        <v>2141</v>
      </c>
      <c r="D286" s="306">
        <v>999148731</v>
      </c>
      <c r="E286" s="373">
        <v>74151.360000000001</v>
      </c>
      <c r="F286" s="373"/>
      <c r="G286" s="373"/>
      <c r="H286" s="271"/>
    </row>
    <row r="287" spans="1:8">
      <c r="A287" s="370">
        <v>44501</v>
      </c>
      <c r="C287" s="262" t="s">
        <v>2142</v>
      </c>
      <c r="D287" s="306">
        <v>24448</v>
      </c>
      <c r="E287" s="373">
        <v>56500</v>
      </c>
      <c r="F287" s="373"/>
      <c r="G287" s="373"/>
      <c r="H287" s="271"/>
    </row>
    <row r="288" spans="1:8">
      <c r="A288" s="370">
        <v>44518</v>
      </c>
      <c r="C288" s="259" t="s">
        <v>2142</v>
      </c>
      <c r="D288" s="306">
        <v>24526</v>
      </c>
      <c r="E288" s="373">
        <v>59626.71</v>
      </c>
      <c r="F288" s="373"/>
      <c r="G288" s="373"/>
      <c r="H288" s="271"/>
    </row>
    <row r="289" spans="1:8">
      <c r="A289" s="370">
        <v>44524</v>
      </c>
      <c r="C289" s="262" t="s">
        <v>2142</v>
      </c>
      <c r="D289" s="306">
        <v>24472</v>
      </c>
      <c r="E289" s="373">
        <v>111123.52</v>
      </c>
      <c r="F289" s="373"/>
      <c r="G289" s="373"/>
      <c r="H289" s="271"/>
    </row>
    <row r="290" spans="1:8">
      <c r="A290" s="370">
        <v>44519</v>
      </c>
      <c r="C290" s="259" t="s">
        <v>2142</v>
      </c>
      <c r="D290" s="306">
        <v>24530</v>
      </c>
      <c r="E290" s="373">
        <v>125339.6</v>
      </c>
      <c r="F290" s="373"/>
      <c r="G290" s="373"/>
      <c r="H290" s="271"/>
    </row>
    <row r="291" spans="1:8">
      <c r="A291" s="370">
        <v>44523</v>
      </c>
      <c r="C291" s="262" t="s">
        <v>2142</v>
      </c>
      <c r="D291" s="306">
        <v>24664</v>
      </c>
      <c r="E291" s="373">
        <v>1596000</v>
      </c>
      <c r="F291" s="373"/>
      <c r="G291" s="373"/>
      <c r="H291" s="271"/>
    </row>
    <row r="292" spans="1:8">
      <c r="A292" s="370">
        <v>44519</v>
      </c>
      <c r="C292" s="262" t="s">
        <v>2142</v>
      </c>
      <c r="D292" s="306">
        <v>24529</v>
      </c>
      <c r="E292" s="373">
        <v>1711129.13</v>
      </c>
      <c r="F292" s="373"/>
      <c r="G292" s="373"/>
      <c r="H292" s="271"/>
    </row>
    <row r="293" spans="1:8">
      <c r="A293" s="370">
        <v>44519</v>
      </c>
      <c r="C293" s="262" t="s">
        <v>2142</v>
      </c>
      <c r="D293" s="306">
        <v>24511</v>
      </c>
      <c r="E293" s="373">
        <v>1857580</v>
      </c>
      <c r="F293" s="373"/>
      <c r="G293" s="270"/>
      <c r="H293" s="271"/>
    </row>
    <row r="294" spans="1:8" ht="15.75">
      <c r="C294" s="252" t="s">
        <v>1396</v>
      </c>
      <c r="E294" s="253">
        <f>SUM(E284:E293)</f>
        <v>6741008.8100000005</v>
      </c>
      <c r="F294" s="255"/>
    </row>
    <row r="295" spans="1:8" ht="15.75">
      <c r="C295" s="252"/>
      <c r="E295" s="255"/>
      <c r="F295" s="255"/>
    </row>
    <row r="298" spans="1:8" ht="15.75">
      <c r="C298" s="252"/>
      <c r="E298" s="255"/>
      <c r="F298" s="255"/>
    </row>
    <row r="299" spans="1:8" ht="15.75">
      <c r="C299" s="252"/>
      <c r="E299" s="255"/>
      <c r="F299" s="255"/>
    </row>
    <row r="300" spans="1:8">
      <c r="C300" s="274" t="s">
        <v>1402</v>
      </c>
    </row>
    <row r="301" spans="1:8">
      <c r="A301" s="237">
        <v>44530</v>
      </c>
      <c r="B301" s="258"/>
      <c r="C301" s="276" t="s">
        <v>1403</v>
      </c>
      <c r="D301" s="260"/>
      <c r="E301" s="261">
        <f>+[4]Hoja5!D13</f>
        <v>248502.64</v>
      </c>
      <c r="F301" s="261">
        <f>+E301</f>
        <v>248502.64</v>
      </c>
      <c r="G301" s="197" t="s">
        <v>2143</v>
      </c>
    </row>
    <row r="302" spans="1:8">
      <c r="A302" s="237">
        <v>44530</v>
      </c>
      <c r="C302" s="238" t="s">
        <v>1406</v>
      </c>
      <c r="D302" s="266"/>
      <c r="E302" s="283">
        <f>99675+0.37</f>
        <v>99675.37</v>
      </c>
      <c r="F302" s="261">
        <f>+E302</f>
        <v>99675.37</v>
      </c>
      <c r="G302" s="197" t="s">
        <v>1435</v>
      </c>
    </row>
    <row r="303" spans="1:8">
      <c r="A303" s="237">
        <v>44530</v>
      </c>
      <c r="C303" s="238" t="s">
        <v>1407</v>
      </c>
      <c r="E303" s="240">
        <f>+[4]Hoja5!D505</f>
        <v>504240.96000000025</v>
      </c>
      <c r="F303" s="261">
        <f>+E303</f>
        <v>504240.96000000025</v>
      </c>
      <c r="G303" s="197" t="s">
        <v>2028</v>
      </c>
    </row>
    <row r="304" spans="1:8" ht="15.75">
      <c r="C304" s="252" t="s">
        <v>1396</v>
      </c>
      <c r="E304" s="284">
        <f>SUM(E301:E303)</f>
        <v>852418.9700000002</v>
      </c>
      <c r="F304" s="341">
        <f>SUM(F301:F303)</f>
        <v>852418.9700000002</v>
      </c>
    </row>
    <row r="308" spans="1:7" ht="15.75" thickBot="1">
      <c r="C308" s="285" t="s">
        <v>1408</v>
      </c>
      <c r="E308" s="286">
        <f>+E304+E294+E279+E250</f>
        <v>375700133.2700001</v>
      </c>
      <c r="F308" s="376">
        <f>+F304+G250</f>
        <v>137408216.53</v>
      </c>
    </row>
    <row r="309" spans="1:7" ht="15.75" thickTop="1"/>
    <row r="310" spans="1:7">
      <c r="C310" s="238"/>
      <c r="G310" s="289"/>
    </row>
    <row r="311" spans="1:7">
      <c r="C311" s="238"/>
      <c r="E311" s="240"/>
      <c r="F311" s="240"/>
    </row>
    <row r="312" spans="1:7">
      <c r="E312" s="240"/>
      <c r="F312" s="240"/>
    </row>
    <row r="313" spans="1:7">
      <c r="A313" s="265"/>
      <c r="B313" s="265"/>
      <c r="D313" s="266"/>
      <c r="E313" s="289"/>
      <c r="F313" s="289"/>
    </row>
    <row r="314" spans="1:7" ht="18">
      <c r="A314" s="265"/>
      <c r="B314" s="405" t="s">
        <v>1409</v>
      </c>
      <c r="C314" s="405"/>
      <c r="D314" s="405"/>
      <c r="E314" s="405"/>
      <c r="F314" s="363"/>
    </row>
    <row r="315" spans="1:7" ht="16.5">
      <c r="A315" s="265"/>
      <c r="B315" s="406" t="s">
        <v>1410</v>
      </c>
      <c r="C315" s="406"/>
      <c r="D315" s="406"/>
      <c r="E315" s="406"/>
      <c r="F315" s="364"/>
    </row>
    <row r="316" spans="1:7">
      <c r="A316" s="265"/>
      <c r="B316" s="407" t="s">
        <v>2144</v>
      </c>
      <c r="C316" s="407"/>
      <c r="D316" s="407"/>
      <c r="E316" s="407"/>
      <c r="F316" s="365"/>
    </row>
    <row r="317" spans="1:7">
      <c r="A317" s="265"/>
      <c r="B317" s="292"/>
      <c r="C317" s="193"/>
      <c r="D317" s="192"/>
      <c r="E317" s="193"/>
      <c r="F317" s="193"/>
    </row>
    <row r="318" spans="1:7">
      <c r="A318" s="265"/>
      <c r="B318" s="292"/>
      <c r="C318" s="193"/>
      <c r="D318" s="192"/>
      <c r="E318" s="193"/>
      <c r="F318" s="193"/>
    </row>
    <row r="319" spans="1:7">
      <c r="A319" s="265"/>
      <c r="B319" s="293" t="s">
        <v>1058</v>
      </c>
      <c r="C319" s="294" t="s">
        <v>3</v>
      </c>
      <c r="D319" s="294" t="s">
        <v>1411</v>
      </c>
      <c r="E319" s="294" t="s">
        <v>1412</v>
      </c>
      <c r="F319" s="295"/>
    </row>
    <row r="320" spans="1:7">
      <c r="A320" s="265"/>
      <c r="B320" s="296"/>
      <c r="C320" s="297" t="s">
        <v>1413</v>
      </c>
      <c r="D320" s="295"/>
      <c r="E320" s="295"/>
      <c r="F320" s="295"/>
    </row>
    <row r="321" spans="1:10">
      <c r="A321" s="265"/>
      <c r="B321" s="248"/>
      <c r="C321" s="298" t="s">
        <v>1414</v>
      </c>
      <c r="D321" s="295"/>
      <c r="E321" s="299">
        <v>50264461.219999991</v>
      </c>
      <c r="F321" s="198">
        <v>213461.92</v>
      </c>
      <c r="G321" s="14" t="s">
        <v>1415</v>
      </c>
      <c r="H321" s="198">
        <v>213461.92</v>
      </c>
    </row>
    <row r="322" spans="1:10">
      <c r="A322" s="265"/>
      <c r="B322" s="248"/>
      <c r="C322" s="298"/>
      <c r="D322" s="295"/>
      <c r="E322" s="299"/>
      <c r="F322" s="198">
        <v>722566</v>
      </c>
      <c r="G322" s="14" t="s">
        <v>1416</v>
      </c>
      <c r="H322" s="198">
        <v>722566</v>
      </c>
    </row>
    <row r="323" spans="1:10">
      <c r="A323" s="265"/>
      <c r="B323" s="248"/>
      <c r="C323" s="298"/>
      <c r="D323" s="295"/>
      <c r="E323" s="299"/>
      <c r="F323" s="198">
        <f>1789000*0.75</f>
        <v>1341750</v>
      </c>
      <c r="G323" s="14" t="s">
        <v>1417</v>
      </c>
      <c r="H323" s="198">
        <f>1789000*0.75</f>
        <v>1341750</v>
      </c>
    </row>
    <row r="324" spans="1:10">
      <c r="A324" s="265"/>
      <c r="B324" s="248"/>
      <c r="C324" s="298"/>
      <c r="D324" s="295"/>
      <c r="E324" s="299"/>
      <c r="F324" s="198">
        <f>1029099*0.75</f>
        <v>771824.25</v>
      </c>
      <c r="G324" s="14" t="s">
        <v>1418</v>
      </c>
      <c r="H324" s="198">
        <f>1029099*0.75</f>
        <v>771824.25</v>
      </c>
    </row>
    <row r="325" spans="1:10">
      <c r="A325" s="265"/>
      <c r="B325" s="248"/>
      <c r="C325" s="298"/>
      <c r="D325" s="295"/>
      <c r="E325" s="299"/>
      <c r="F325" s="377">
        <v>47214859.049999997</v>
      </c>
      <c r="G325" s="14" t="s">
        <v>1395</v>
      </c>
      <c r="H325" s="311">
        <v>47214859.049999997</v>
      </c>
    </row>
    <row r="326" spans="1:10">
      <c r="A326" s="265"/>
      <c r="B326" s="248"/>
      <c r="C326" s="298"/>
      <c r="D326" s="295"/>
      <c r="E326" s="299"/>
      <c r="F326" s="299"/>
      <c r="G326" s="14"/>
      <c r="H326" s="198">
        <f>SUM(H321:H325)</f>
        <v>50264461.219999999</v>
      </c>
    </row>
    <row r="327" spans="1:10">
      <c r="A327" s="265"/>
      <c r="B327" s="248"/>
      <c r="C327" s="298" t="s">
        <v>1419</v>
      </c>
      <c r="D327" s="295"/>
      <c r="E327" s="261">
        <v>3496559.06</v>
      </c>
      <c r="F327" s="261">
        <f>+E327</f>
        <v>3496559.06</v>
      </c>
      <c r="G327" s="197" t="s">
        <v>1880</v>
      </c>
    </row>
    <row r="328" spans="1:10">
      <c r="A328" s="265"/>
      <c r="B328" s="248"/>
      <c r="C328" s="298" t="s">
        <v>1420</v>
      </c>
      <c r="D328" s="295"/>
      <c r="E328" s="261">
        <v>360000</v>
      </c>
      <c r="F328" s="261">
        <f>+E328</f>
        <v>360000</v>
      </c>
      <c r="G328" s="197" t="s">
        <v>1394</v>
      </c>
      <c r="H328" s="198">
        <f>+E321-H326</f>
        <v>0</v>
      </c>
      <c r="J328" s="198">
        <v>40000</v>
      </c>
    </row>
    <row r="329" spans="1:10">
      <c r="A329" s="265"/>
      <c r="B329" s="248"/>
      <c r="C329" s="300" t="s">
        <v>1421</v>
      </c>
      <c r="D329" s="295"/>
      <c r="E329" s="263">
        <v>3368948.98</v>
      </c>
      <c r="F329" s="263">
        <f>+E329</f>
        <v>3368948.98</v>
      </c>
      <c r="G329" s="197" t="s">
        <v>1421</v>
      </c>
    </row>
    <row r="330" spans="1:10">
      <c r="A330" s="265"/>
      <c r="B330" s="296"/>
      <c r="C330" s="365" t="s">
        <v>1422</v>
      </c>
      <c r="D330" s="295"/>
      <c r="E330" s="301">
        <f>SUM(E321:E329)</f>
        <v>57489969.25999999</v>
      </c>
      <c r="F330" s="301">
        <f>SUM(F321:F329)</f>
        <v>57489969.259999998</v>
      </c>
    </row>
    <row r="331" spans="1:10">
      <c r="A331" s="265"/>
      <c r="B331" s="296"/>
      <c r="C331" s="295"/>
      <c r="D331" s="295"/>
      <c r="E331" s="302"/>
      <c r="F331" s="302"/>
    </row>
    <row r="332" spans="1:10">
      <c r="A332" s="265"/>
      <c r="B332" s="296"/>
      <c r="C332" s="295"/>
      <c r="D332" s="295"/>
      <c r="E332" s="302"/>
      <c r="F332" s="302"/>
    </row>
    <row r="333" spans="1:10">
      <c r="A333" s="265"/>
      <c r="B333" s="296"/>
      <c r="C333" s="295"/>
      <c r="D333" s="295"/>
      <c r="E333" s="302"/>
      <c r="F333" s="302"/>
    </row>
    <row r="334" spans="1:10" ht="15.75">
      <c r="A334" s="265"/>
      <c r="B334" s="247"/>
      <c r="C334" s="256" t="s">
        <v>1397</v>
      </c>
      <c r="D334" s="192"/>
      <c r="E334" s="196"/>
      <c r="F334" s="196"/>
    </row>
    <row r="335" spans="1:10">
      <c r="A335" s="265"/>
      <c r="B335" s="370">
        <v>44525</v>
      </c>
      <c r="C335" s="292" t="s">
        <v>1423</v>
      </c>
      <c r="D335" s="306">
        <v>24943147648</v>
      </c>
      <c r="E335" s="373">
        <v>2280000</v>
      </c>
      <c r="F335" s="373"/>
    </row>
    <row r="336" spans="1:10">
      <c r="A336" s="265"/>
      <c r="B336" s="370">
        <v>44526</v>
      </c>
      <c r="C336" s="292" t="s">
        <v>1423</v>
      </c>
      <c r="D336" s="306">
        <v>24949441489</v>
      </c>
      <c r="E336" s="373">
        <v>22000</v>
      </c>
      <c r="F336" s="373"/>
    </row>
    <row r="337" spans="1:6">
      <c r="A337" s="265"/>
      <c r="B337" s="370">
        <v>44524</v>
      </c>
      <c r="C337" s="292" t="s">
        <v>1423</v>
      </c>
      <c r="D337" s="306">
        <v>24927571209</v>
      </c>
      <c r="E337" s="373">
        <v>200000</v>
      </c>
      <c r="F337" s="373"/>
    </row>
    <row r="338" spans="1:6">
      <c r="A338" s="265"/>
      <c r="B338" s="370">
        <v>44524</v>
      </c>
      <c r="C338" s="292" t="s">
        <v>1423</v>
      </c>
      <c r="D338" s="306">
        <v>24927556156</v>
      </c>
      <c r="E338" s="373">
        <v>26000</v>
      </c>
      <c r="F338" s="373"/>
    </row>
    <row r="339" spans="1:6">
      <c r="A339" s="265"/>
      <c r="B339" s="370">
        <v>44522</v>
      </c>
      <c r="C339" s="292" t="s">
        <v>1423</v>
      </c>
      <c r="D339" s="306">
        <v>24906066268</v>
      </c>
      <c r="E339" s="373">
        <v>1500000</v>
      </c>
      <c r="F339" s="373"/>
    </row>
    <row r="340" spans="1:6">
      <c r="A340" s="265"/>
      <c r="B340" s="370">
        <v>44519</v>
      </c>
      <c r="C340" s="292" t="s">
        <v>1423</v>
      </c>
      <c r="D340" s="306">
        <v>24891578523</v>
      </c>
      <c r="E340" s="373">
        <v>21300000</v>
      </c>
      <c r="F340" s="373"/>
    </row>
    <row r="341" spans="1:6">
      <c r="A341" s="265"/>
      <c r="B341" s="370">
        <v>44519</v>
      </c>
      <c r="C341" s="292" t="s">
        <v>1423</v>
      </c>
      <c r="D341" s="306">
        <v>24882910470</v>
      </c>
      <c r="E341" s="373">
        <v>80000</v>
      </c>
      <c r="F341" s="373"/>
    </row>
    <row r="342" spans="1:6">
      <c r="A342" s="265"/>
      <c r="B342" s="370">
        <v>44516</v>
      </c>
      <c r="C342" s="292" t="s">
        <v>1423</v>
      </c>
      <c r="D342" s="306">
        <v>24855464308</v>
      </c>
      <c r="E342" s="373">
        <v>200000</v>
      </c>
      <c r="F342" s="373"/>
    </row>
    <row r="343" spans="1:6">
      <c r="A343" s="265"/>
      <c r="B343" s="370">
        <v>44516</v>
      </c>
      <c r="C343" s="292" t="s">
        <v>1423</v>
      </c>
      <c r="D343" s="306">
        <v>24855458343</v>
      </c>
      <c r="E343" s="373">
        <v>200000</v>
      </c>
      <c r="F343" s="373"/>
    </row>
    <row r="344" spans="1:6">
      <c r="A344" s="265"/>
      <c r="B344" s="370">
        <v>44515</v>
      </c>
      <c r="C344" s="292" t="s">
        <v>1423</v>
      </c>
      <c r="D344" s="306">
        <v>24846654625</v>
      </c>
      <c r="E344" s="373">
        <v>29000</v>
      </c>
      <c r="F344" s="373"/>
    </row>
    <row r="345" spans="1:6">
      <c r="A345" s="265"/>
      <c r="B345" s="370">
        <v>44510</v>
      </c>
      <c r="C345" s="292" t="s">
        <v>1423</v>
      </c>
      <c r="D345" s="306">
        <v>24807408909</v>
      </c>
      <c r="E345" s="373">
        <v>135000</v>
      </c>
      <c r="F345" s="373"/>
    </row>
    <row r="346" spans="1:6">
      <c r="A346" s="265"/>
      <c r="B346" s="370">
        <v>44509</v>
      </c>
      <c r="C346" s="292" t="s">
        <v>1423</v>
      </c>
      <c r="D346" s="306">
        <v>24804042643</v>
      </c>
      <c r="E346" s="373">
        <v>320000</v>
      </c>
      <c r="F346" s="373"/>
    </row>
    <row r="347" spans="1:6">
      <c r="A347" s="265"/>
      <c r="B347" s="370">
        <v>44509</v>
      </c>
      <c r="C347" s="292" t="s">
        <v>1423</v>
      </c>
      <c r="D347" s="306">
        <v>24804036721</v>
      </c>
      <c r="E347" s="373">
        <v>100000000</v>
      </c>
      <c r="F347" s="373"/>
    </row>
    <row r="348" spans="1:6">
      <c r="A348" s="265"/>
      <c r="B348" s="370">
        <v>44509</v>
      </c>
      <c r="C348" s="292" t="s">
        <v>1423</v>
      </c>
      <c r="D348" s="306">
        <v>24804032135</v>
      </c>
      <c r="E348" s="373">
        <v>100000000</v>
      </c>
      <c r="F348" s="373"/>
    </row>
    <row r="349" spans="1:6">
      <c r="A349" s="265"/>
      <c r="B349" s="370">
        <v>44503</v>
      </c>
      <c r="C349" s="292" t="s">
        <v>1423</v>
      </c>
      <c r="D349" s="306">
        <v>24756987831</v>
      </c>
      <c r="E349" s="373">
        <v>750000</v>
      </c>
      <c r="F349" s="373"/>
    </row>
    <row r="350" spans="1:6">
      <c r="A350" s="265"/>
      <c r="B350" s="370">
        <v>44501</v>
      </c>
      <c r="C350" s="292" t="s">
        <v>1423</v>
      </c>
      <c r="D350" s="306">
        <v>24738124821</v>
      </c>
      <c r="E350" s="373">
        <v>1100000</v>
      </c>
      <c r="F350" s="373"/>
    </row>
    <row r="351" spans="1:6">
      <c r="A351" s="265"/>
      <c r="B351" s="370">
        <v>44501</v>
      </c>
      <c r="C351" s="292" t="s">
        <v>1423</v>
      </c>
      <c r="D351" s="306">
        <v>24738042131</v>
      </c>
      <c r="E351" s="373">
        <v>150000</v>
      </c>
      <c r="F351" s="373"/>
    </row>
    <row r="352" spans="1:6">
      <c r="A352" s="265"/>
      <c r="B352" s="247"/>
      <c r="C352" s="365" t="s">
        <v>1422</v>
      </c>
      <c r="D352" s="192"/>
      <c r="E352" s="378">
        <f>SUM(E335:E351)</f>
        <v>228292000</v>
      </c>
      <c r="F352" s="304"/>
    </row>
    <row r="353" spans="1:14">
      <c r="A353" s="265"/>
      <c r="B353" s="247"/>
      <c r="C353" s="365"/>
      <c r="D353" s="192"/>
      <c r="E353" s="304"/>
      <c r="F353" s="304"/>
    </row>
    <row r="354" spans="1:14">
      <c r="A354" s="265"/>
      <c r="B354" s="247"/>
      <c r="C354" s="365"/>
      <c r="D354" s="192"/>
      <c r="E354" s="304"/>
      <c r="F354" s="304"/>
    </row>
    <row r="355" spans="1:14">
      <c r="A355" s="265"/>
      <c r="B355" s="247"/>
      <c r="C355" s="365"/>
      <c r="D355" s="192"/>
      <c r="E355" s="304"/>
      <c r="F355" s="304"/>
    </row>
    <row r="356" spans="1:14">
      <c r="A356" s="265"/>
      <c r="B356" s="247"/>
      <c r="C356" s="268" t="s">
        <v>1424</v>
      </c>
      <c r="D356" s="192"/>
      <c r="E356" s="304"/>
      <c r="F356" s="304"/>
    </row>
    <row r="357" spans="1:14">
      <c r="A357" s="265"/>
      <c r="B357" s="248">
        <v>44530</v>
      </c>
      <c r="C357" s="193" t="s">
        <v>1425</v>
      </c>
      <c r="D357" s="260"/>
      <c r="E357" s="379">
        <v>21307500</v>
      </c>
      <c r="F357" s="261">
        <f>+E357</f>
        <v>21307500</v>
      </c>
      <c r="G357" s="197" t="s">
        <v>1880</v>
      </c>
    </row>
    <row r="358" spans="1:14">
      <c r="A358" s="265"/>
      <c r="B358" s="248">
        <v>44530</v>
      </c>
      <c r="C358" s="193" t="s">
        <v>1429</v>
      </c>
      <c r="D358" s="260"/>
      <c r="E358" s="261">
        <v>31380</v>
      </c>
      <c r="F358" s="261">
        <f>+E358</f>
        <v>31380</v>
      </c>
      <c r="G358" s="197" t="s">
        <v>1430</v>
      </c>
    </row>
    <row r="359" spans="1:14">
      <c r="A359" s="265"/>
      <c r="B359" s="248">
        <v>44530</v>
      </c>
      <c r="C359" s="193" t="s">
        <v>1427</v>
      </c>
      <c r="D359" s="260"/>
      <c r="E359" s="261">
        <v>69160</v>
      </c>
      <c r="F359" s="261">
        <f>+E359</f>
        <v>69160</v>
      </c>
      <c r="G359" s="197" t="s">
        <v>1394</v>
      </c>
      <c r="I359" s="189">
        <f>35000*0.05</f>
        <v>1750</v>
      </c>
      <c r="J359" s="189"/>
      <c r="K359" s="189">
        <v>0</v>
      </c>
      <c r="L359" s="189">
        <v>3500</v>
      </c>
      <c r="M359" s="189">
        <v>6300</v>
      </c>
      <c r="N359" s="189">
        <f>6300*0.3</f>
        <v>1890</v>
      </c>
    </row>
    <row r="360" spans="1:14">
      <c r="A360" s="265"/>
      <c r="B360" s="248">
        <v>44530</v>
      </c>
      <c r="C360" s="193" t="s">
        <v>1426</v>
      </c>
      <c r="D360" s="260"/>
      <c r="E360" s="261">
        <v>201300</v>
      </c>
      <c r="F360" s="261"/>
      <c r="G360" s="197" t="s">
        <v>1395</v>
      </c>
    </row>
    <row r="361" spans="1:14">
      <c r="A361" s="265"/>
      <c r="B361" s="248">
        <v>44530</v>
      </c>
      <c r="C361" s="193" t="s">
        <v>1881</v>
      </c>
      <c r="D361" s="260"/>
      <c r="E361" s="261">
        <v>59450</v>
      </c>
      <c r="F361" s="261"/>
      <c r="G361" s="197" t="s">
        <v>1395</v>
      </c>
    </row>
    <row r="362" spans="1:14" ht="29.25">
      <c r="A362" s="265"/>
      <c r="B362" s="248">
        <v>44530</v>
      </c>
      <c r="C362" s="305" t="s">
        <v>1428</v>
      </c>
      <c r="D362" s="260"/>
      <c r="E362" s="261">
        <v>1250374.21</v>
      </c>
      <c r="F362" s="261"/>
      <c r="G362" s="197" t="s">
        <v>1395</v>
      </c>
    </row>
    <row r="363" spans="1:14">
      <c r="A363" s="265"/>
      <c r="B363" s="248">
        <v>44530</v>
      </c>
      <c r="C363" s="193" t="s">
        <v>1431</v>
      </c>
      <c r="D363" s="260"/>
      <c r="E363" s="261">
        <v>25747.5</v>
      </c>
      <c r="F363" s="261"/>
      <c r="G363" s="197" t="s">
        <v>1395</v>
      </c>
    </row>
    <row r="364" spans="1:14">
      <c r="A364" s="265"/>
      <c r="B364" s="248">
        <v>44530</v>
      </c>
      <c r="C364" s="193" t="s">
        <v>1432</v>
      </c>
      <c r="D364" s="260"/>
      <c r="E364" s="261">
        <v>9800</v>
      </c>
      <c r="F364" s="261">
        <f>SUM(E360:E364)</f>
        <v>1546671.71</v>
      </c>
      <c r="G364" s="197" t="s">
        <v>1395</v>
      </c>
    </row>
    <row r="365" spans="1:14" ht="15.75">
      <c r="A365" s="265"/>
      <c r="B365" s="248"/>
      <c r="C365" s="193" t="s">
        <v>2145</v>
      </c>
      <c r="D365" s="260"/>
      <c r="E365" s="380">
        <v>-112400</v>
      </c>
      <c r="F365" s="261"/>
      <c r="G365" s="197" t="s">
        <v>1882</v>
      </c>
    </row>
    <row r="366" spans="1:14">
      <c r="A366" s="265"/>
      <c r="B366" s="248">
        <v>44530</v>
      </c>
      <c r="C366" s="193" t="s">
        <v>1433</v>
      </c>
      <c r="D366" s="306"/>
      <c r="E366" s="307">
        <v>9119500</v>
      </c>
      <c r="F366" s="307">
        <f>+E366+E365</f>
        <v>9007100</v>
      </c>
      <c r="G366" s="197" t="s">
        <v>1882</v>
      </c>
    </row>
    <row r="367" spans="1:14">
      <c r="A367" s="265"/>
      <c r="B367" s="247"/>
      <c r="C367" s="365" t="s">
        <v>1422</v>
      </c>
      <c r="D367" s="192"/>
      <c r="E367" s="303">
        <f>SUM(E357:E366)</f>
        <v>31961811.710000001</v>
      </c>
      <c r="F367" s="303">
        <f>SUM(F357:F366)</f>
        <v>31961811.710000001</v>
      </c>
    </row>
    <row r="368" spans="1:14">
      <c r="A368" s="265"/>
      <c r="B368" s="247"/>
      <c r="C368" s="193"/>
      <c r="D368" s="192"/>
      <c r="E368" s="309"/>
      <c r="F368" s="309"/>
    </row>
    <row r="369" spans="1:14">
      <c r="A369" s="265"/>
      <c r="B369" s="247"/>
      <c r="C369" s="193"/>
      <c r="D369" s="192"/>
      <c r="E369" s="309"/>
      <c r="F369" s="309"/>
    </row>
    <row r="370" spans="1:14">
      <c r="A370" s="265"/>
      <c r="B370" s="247"/>
      <c r="C370" s="14"/>
      <c r="D370" s="192"/>
      <c r="E370" s="309"/>
      <c r="F370" s="309"/>
    </row>
    <row r="371" spans="1:14">
      <c r="A371" s="265"/>
      <c r="B371" s="247"/>
      <c r="C371" s="274" t="s">
        <v>2146</v>
      </c>
      <c r="D371" s="192"/>
      <c r="E371" s="309"/>
      <c r="F371" s="309"/>
    </row>
    <row r="372" spans="1:14">
      <c r="A372" s="265"/>
      <c r="B372" s="370">
        <v>44519</v>
      </c>
      <c r="C372" s="262" t="s">
        <v>2147</v>
      </c>
      <c r="D372" s="306">
        <v>24884307095</v>
      </c>
      <c r="E372" s="374">
        <v>20000</v>
      </c>
      <c r="F372" s="375"/>
    </row>
    <row r="373" spans="1:14">
      <c r="A373" s="265"/>
      <c r="B373" s="247"/>
      <c r="C373" s="365" t="s">
        <v>1422</v>
      </c>
      <c r="D373" s="192"/>
      <c r="E373" s="381">
        <f>+E372</f>
        <v>20000</v>
      </c>
      <c r="F373" s="381"/>
    </row>
    <row r="374" spans="1:14">
      <c r="A374" s="265"/>
      <c r="B374" s="247"/>
      <c r="C374" s="193"/>
      <c r="D374" s="192"/>
      <c r="E374" s="309"/>
      <c r="F374" s="309"/>
    </row>
    <row r="375" spans="1:14">
      <c r="A375" s="265"/>
      <c r="B375" s="247"/>
      <c r="C375" s="193"/>
      <c r="D375" s="192"/>
      <c r="E375" s="309"/>
      <c r="F375" s="309"/>
    </row>
    <row r="376" spans="1:14">
      <c r="A376" s="265"/>
      <c r="B376" s="247"/>
      <c r="C376" s="297" t="s">
        <v>1434</v>
      </c>
      <c r="D376" s="192"/>
      <c r="E376" s="196"/>
      <c r="F376" s="196"/>
    </row>
    <row r="377" spans="1:14">
      <c r="B377" s="247"/>
      <c r="C377" s="298" t="s">
        <v>1435</v>
      </c>
      <c r="D377" s="192"/>
      <c r="E377" s="307">
        <v>175</v>
      </c>
      <c r="F377" s="307">
        <f>+E377</f>
        <v>175</v>
      </c>
      <c r="G377" s="197" t="s">
        <v>1353</v>
      </c>
    </row>
    <row r="378" spans="1:14">
      <c r="B378" s="247"/>
      <c r="C378" s="298" t="s">
        <v>1436</v>
      </c>
      <c r="D378" s="192"/>
      <c r="E378" s="310">
        <v>140471.11000000002</v>
      </c>
      <c r="F378" s="310">
        <f>+E378</f>
        <v>140471.11000000002</v>
      </c>
      <c r="G378" s="197" t="s">
        <v>2028</v>
      </c>
    </row>
    <row r="379" spans="1:14">
      <c r="B379" s="247"/>
      <c r="C379" s="365" t="s">
        <v>1422</v>
      </c>
      <c r="D379" s="192"/>
      <c r="E379" s="312">
        <f>SUM(E377:E378)</f>
        <v>140646.11000000002</v>
      </c>
      <c r="F379" s="312">
        <f>SUM(F377:F378)</f>
        <v>140646.11000000002</v>
      </c>
    </row>
    <row r="380" spans="1:14">
      <c r="B380" s="247"/>
      <c r="C380" s="365"/>
      <c r="D380" s="192"/>
      <c r="E380" s="313"/>
      <c r="F380" s="313"/>
    </row>
    <row r="381" spans="1:14">
      <c r="B381" s="247"/>
      <c r="C381" s="365"/>
      <c r="D381" s="192"/>
      <c r="E381" s="313"/>
      <c r="F381" s="313"/>
    </row>
    <row r="382" spans="1:14">
      <c r="B382" s="247"/>
      <c r="C382" s="365"/>
      <c r="D382" s="192"/>
      <c r="E382" s="313"/>
      <c r="F382" s="313"/>
    </row>
    <row r="383" spans="1:14" ht="16.5" thickBot="1">
      <c r="B383" s="247"/>
      <c r="C383" s="365" t="s">
        <v>1437</v>
      </c>
      <c r="D383" s="192"/>
      <c r="E383" s="315">
        <f>+E330+E352+E367+E379+E373</f>
        <v>317904427.07999998</v>
      </c>
      <c r="F383" s="382">
        <f>+F379+F367+F330</f>
        <v>89592427.079999998</v>
      </c>
      <c r="I383" s="342">
        <f t="shared" ref="I383:N383" si="0">SUM(I8:I382)</f>
        <v>796502.07</v>
      </c>
      <c r="J383" s="342">
        <f t="shared" si="0"/>
        <v>942661.91999999993</v>
      </c>
      <c r="K383" s="342">
        <f t="shared" si="0"/>
        <v>9300</v>
      </c>
      <c r="L383" s="342">
        <f t="shared" si="0"/>
        <v>98500</v>
      </c>
      <c r="M383" s="342">
        <f t="shared" si="0"/>
        <v>283590</v>
      </c>
      <c r="N383" s="342">
        <f t="shared" si="0"/>
        <v>38779.61</v>
      </c>
    </row>
    <row r="384" spans="1:14" ht="15.75" thickTop="1">
      <c r="B384" s="292"/>
      <c r="C384" s="14"/>
      <c r="D384" s="192"/>
      <c r="E384" s="14"/>
      <c r="F384" s="14"/>
    </row>
    <row r="385" spans="3:7" ht="19.5">
      <c r="C385" s="317" t="s">
        <v>2148</v>
      </c>
    </row>
    <row r="386" spans="3:7">
      <c r="E386" s="383">
        <v>175</v>
      </c>
      <c r="F386" s="383">
        <f>+E386</f>
        <v>175</v>
      </c>
      <c r="G386" s="197" t="s">
        <v>1353</v>
      </c>
    </row>
    <row r="387" spans="3:7">
      <c r="C387" s="298" t="s">
        <v>1435</v>
      </c>
      <c r="E387" s="240"/>
      <c r="F387" s="240"/>
    </row>
    <row r="388" spans="3:7">
      <c r="E388" s="240"/>
      <c r="F388" s="255">
        <f>+F386+F383+F308</f>
        <v>227000818.61000001</v>
      </c>
    </row>
    <row r="389" spans="3:7">
      <c r="E389" s="240"/>
      <c r="F389" s="240"/>
    </row>
    <row r="390" spans="3:7">
      <c r="E390" s="240"/>
      <c r="F390" s="240"/>
    </row>
  </sheetData>
  <mergeCells count="9">
    <mergeCell ref="I6:N6"/>
    <mergeCell ref="B314:E314"/>
    <mergeCell ref="B315:E315"/>
    <mergeCell ref="B316:E316"/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7"/>
  <sheetViews>
    <sheetView topLeftCell="C223" workbookViewId="0">
      <selection activeCell="D232" sqref="D232"/>
    </sheetView>
  </sheetViews>
  <sheetFormatPr baseColWidth="10" defaultRowHeight="15"/>
  <cols>
    <col min="1" max="1" width="11.5703125" style="237" customWidth="1"/>
    <col min="2" max="2" width="16.28515625" style="237" customWidth="1"/>
    <col min="3" max="3" width="65.5703125" style="197" customWidth="1"/>
    <col min="4" max="4" width="17.5703125" style="239" customWidth="1"/>
    <col min="5" max="5" width="17.28515625" style="275" bestFit="1" customWidth="1"/>
    <col min="6" max="6" width="17.28515625" style="275" customWidth="1"/>
    <col min="7" max="7" width="38" style="197" bestFit="1" customWidth="1"/>
    <col min="8" max="8" width="13.42578125" style="198" bestFit="1" customWidth="1"/>
    <col min="9" max="9" width="15.28515625" style="198" customWidth="1"/>
    <col min="10" max="14" width="11.42578125" style="198"/>
    <col min="15" max="16384" width="11.42578125" style="197"/>
  </cols>
  <sheetData>
    <row r="1" spans="1:14" ht="23.25">
      <c r="A1" s="408" t="s">
        <v>1358</v>
      </c>
      <c r="B1" s="408"/>
      <c r="C1" s="408"/>
      <c r="D1" s="408"/>
      <c r="E1" s="408"/>
      <c r="F1" s="323"/>
    </row>
    <row r="2" spans="1:14" ht="20.25">
      <c r="A2" s="409" t="s">
        <v>1359</v>
      </c>
      <c r="B2" s="409"/>
      <c r="C2" s="409"/>
      <c r="D2" s="409"/>
      <c r="E2" s="409"/>
      <c r="F2" s="324"/>
    </row>
    <row r="3" spans="1:14" ht="18">
      <c r="A3" s="405" t="s">
        <v>1360</v>
      </c>
      <c r="B3" s="405"/>
      <c r="C3" s="405"/>
      <c r="D3" s="405"/>
      <c r="E3" s="405"/>
      <c r="F3" s="320"/>
    </row>
    <row r="4" spans="1:14" ht="15.75">
      <c r="A4" s="410" t="s">
        <v>1361</v>
      </c>
      <c r="B4" s="410"/>
      <c r="C4" s="410"/>
      <c r="D4" s="410"/>
      <c r="E4" s="410"/>
      <c r="F4" s="325"/>
    </row>
    <row r="5" spans="1:14">
      <c r="A5" s="411" t="s">
        <v>1888</v>
      </c>
      <c r="B5" s="411"/>
      <c r="C5" s="411"/>
      <c r="D5" s="411"/>
      <c r="E5" s="411"/>
      <c r="F5" s="326"/>
    </row>
    <row r="6" spans="1:14">
      <c r="C6" s="238"/>
      <c r="E6" s="240"/>
      <c r="F6" s="240"/>
      <c r="I6" s="404" t="s">
        <v>1362</v>
      </c>
      <c r="J6" s="404"/>
      <c r="K6" s="404"/>
      <c r="L6" s="404"/>
      <c r="M6" s="404"/>
      <c r="N6" s="404"/>
    </row>
    <row r="7" spans="1:14">
      <c r="A7" s="241" t="s">
        <v>1058</v>
      </c>
      <c r="B7" s="241" t="s">
        <v>1363</v>
      </c>
      <c r="C7" s="242" t="s">
        <v>1364</v>
      </c>
      <c r="D7" s="243" t="s">
        <v>1365</v>
      </c>
      <c r="E7" s="244" t="s">
        <v>1366</v>
      </c>
      <c r="F7" s="245"/>
      <c r="I7" s="319">
        <v>0.05</v>
      </c>
      <c r="J7" s="319" t="s">
        <v>1367</v>
      </c>
      <c r="K7" s="319" t="s">
        <v>1368</v>
      </c>
      <c r="L7" s="319" t="s">
        <v>1369</v>
      </c>
      <c r="M7" s="319" t="s">
        <v>1370</v>
      </c>
      <c r="N7" s="319" t="s">
        <v>1371</v>
      </c>
    </row>
    <row r="8" spans="1:14">
      <c r="A8" s="247">
        <v>44459</v>
      </c>
      <c r="B8" s="237">
        <v>44476</v>
      </c>
      <c r="C8" s="193" t="s">
        <v>1112</v>
      </c>
      <c r="D8" s="192">
        <v>24151</v>
      </c>
      <c r="E8" s="249">
        <v>127517.95</v>
      </c>
      <c r="F8" s="249"/>
      <c r="G8" s="197" t="s">
        <v>1374</v>
      </c>
      <c r="I8" s="198">
        <v>5925.55</v>
      </c>
      <c r="N8" s="198">
        <v>6399.6</v>
      </c>
    </row>
    <row r="9" spans="1:14">
      <c r="A9" s="247">
        <v>44460</v>
      </c>
      <c r="B9" s="237">
        <v>44482</v>
      </c>
      <c r="C9" s="193" t="s">
        <v>1152</v>
      </c>
      <c r="D9" s="192">
        <v>24190</v>
      </c>
      <c r="E9" s="249">
        <v>45000</v>
      </c>
      <c r="F9" s="249"/>
      <c r="G9" s="197" t="s">
        <v>102</v>
      </c>
      <c r="L9" s="198">
        <v>5000</v>
      </c>
      <c r="M9" s="198">
        <v>9000</v>
      </c>
    </row>
    <row r="10" spans="1:14">
      <c r="A10" s="247">
        <v>44469</v>
      </c>
      <c r="B10" s="237">
        <v>44476</v>
      </c>
      <c r="C10" s="193" t="s">
        <v>1908</v>
      </c>
      <c r="D10" s="192">
        <v>24218</v>
      </c>
      <c r="E10" s="249">
        <v>243141.58</v>
      </c>
      <c r="F10" s="249"/>
      <c r="G10" s="197" t="s">
        <v>1388</v>
      </c>
    </row>
    <row r="11" spans="1:14">
      <c r="A11" s="247">
        <v>44469</v>
      </c>
      <c r="B11" s="237">
        <v>44470</v>
      </c>
      <c r="C11" s="193" t="s">
        <v>1389</v>
      </c>
      <c r="D11" s="192">
        <v>24219</v>
      </c>
      <c r="E11" s="251">
        <v>1415420</v>
      </c>
      <c r="F11" s="251"/>
      <c r="G11" s="197" t="s">
        <v>1390</v>
      </c>
    </row>
    <row r="12" spans="1:14">
      <c r="A12" s="328">
        <v>44470</v>
      </c>
      <c r="B12" s="237">
        <v>44473</v>
      </c>
      <c r="C12" s="193" t="s">
        <v>1739</v>
      </c>
      <c r="D12" s="192">
        <v>24220</v>
      </c>
      <c r="E12" s="196">
        <v>2680405.5699999998</v>
      </c>
      <c r="F12" s="196">
        <f>+E12</f>
        <v>2680405.5699999998</v>
      </c>
      <c r="G12" s="197" t="s">
        <v>1899</v>
      </c>
    </row>
    <row r="13" spans="1:14">
      <c r="A13" s="328"/>
      <c r="B13" s="237">
        <v>44473</v>
      </c>
      <c r="C13" s="193" t="s">
        <v>1739</v>
      </c>
      <c r="D13" s="192">
        <v>24221</v>
      </c>
      <c r="E13" s="110">
        <v>8926576.5099999998</v>
      </c>
      <c r="F13" s="110">
        <f>+E13</f>
        <v>8926576.5099999998</v>
      </c>
      <c r="G13" s="197" t="s">
        <v>1895</v>
      </c>
      <c r="H13" s="110">
        <f>12351042.86-H12</f>
        <v>12351042.859999999</v>
      </c>
    </row>
    <row r="14" spans="1:14">
      <c r="A14" s="328">
        <v>44470</v>
      </c>
      <c r="B14" s="237">
        <v>44473</v>
      </c>
      <c r="C14" s="193" t="s">
        <v>1739</v>
      </c>
      <c r="D14" s="192">
        <v>24221</v>
      </c>
      <c r="E14" s="110">
        <v>3424466.35</v>
      </c>
      <c r="F14" s="110"/>
      <c r="G14" s="197" t="s">
        <v>1395</v>
      </c>
      <c r="H14" s="110">
        <v>3510154.99</v>
      </c>
    </row>
    <row r="15" spans="1:14">
      <c r="A15" s="328">
        <v>44470</v>
      </c>
      <c r="B15" s="237">
        <v>44476</v>
      </c>
      <c r="C15" s="193" t="s">
        <v>1232</v>
      </c>
      <c r="D15" s="192">
        <v>24222</v>
      </c>
      <c r="E15" s="196">
        <v>5214672</v>
      </c>
      <c r="F15" s="196"/>
      <c r="G15" s="197" t="s">
        <v>1387</v>
      </c>
    </row>
    <row r="16" spans="1:14">
      <c r="A16" s="328">
        <v>44473</v>
      </c>
      <c r="B16" s="237">
        <v>44476</v>
      </c>
      <c r="C16" s="193" t="s">
        <v>1909</v>
      </c>
      <c r="D16" s="192">
        <v>24223</v>
      </c>
      <c r="E16" s="196">
        <v>191147.32</v>
      </c>
      <c r="F16" s="196"/>
      <c r="G16" s="197" t="s">
        <v>1388</v>
      </c>
    </row>
    <row r="17" spans="1:7">
      <c r="A17" s="328">
        <v>44473</v>
      </c>
      <c r="B17" s="237">
        <v>44476</v>
      </c>
      <c r="C17" s="193" t="s">
        <v>1910</v>
      </c>
      <c r="D17" s="192">
        <v>24224</v>
      </c>
      <c r="E17" s="196">
        <v>93458.7</v>
      </c>
      <c r="F17" s="196"/>
      <c r="G17" s="197" t="s">
        <v>1388</v>
      </c>
    </row>
    <row r="18" spans="1:7">
      <c r="A18" s="328">
        <v>44473</v>
      </c>
      <c r="B18" s="237">
        <v>44476</v>
      </c>
      <c r="C18" s="193" t="s">
        <v>1911</v>
      </c>
      <c r="D18" s="192">
        <v>24225</v>
      </c>
      <c r="E18" s="196">
        <v>40611.17</v>
      </c>
      <c r="F18" s="196"/>
      <c r="G18" s="197" t="s">
        <v>1388</v>
      </c>
    </row>
    <row r="19" spans="1:7">
      <c r="A19" s="328">
        <v>44473</v>
      </c>
      <c r="B19" s="237">
        <v>44476</v>
      </c>
      <c r="C19" s="193" t="s">
        <v>1912</v>
      </c>
      <c r="D19" s="192">
        <v>24226</v>
      </c>
      <c r="E19" s="196">
        <v>15864.21</v>
      </c>
      <c r="F19" s="196"/>
      <c r="G19" s="197" t="s">
        <v>1388</v>
      </c>
    </row>
    <row r="20" spans="1:7">
      <c r="A20" s="328">
        <v>44473</v>
      </c>
      <c r="B20" s="237">
        <v>44489</v>
      </c>
      <c r="C20" s="193" t="s">
        <v>1913</v>
      </c>
      <c r="D20" s="192">
        <v>24228</v>
      </c>
      <c r="E20" s="196">
        <v>52177.35</v>
      </c>
      <c r="F20" s="196"/>
      <c r="G20" s="197" t="s">
        <v>1388</v>
      </c>
    </row>
    <row r="21" spans="1:7">
      <c r="A21" s="328">
        <v>44473</v>
      </c>
      <c r="B21" s="237">
        <v>44477</v>
      </c>
      <c r="C21" s="193" t="s">
        <v>1914</v>
      </c>
      <c r="D21" s="192">
        <v>24229</v>
      </c>
      <c r="E21" s="196">
        <v>15752.65</v>
      </c>
      <c r="F21" s="196"/>
      <c r="G21" s="197" t="s">
        <v>1388</v>
      </c>
    </row>
    <row r="22" spans="1:7">
      <c r="A22" s="328">
        <v>44473</v>
      </c>
      <c r="B22" s="237">
        <v>44476</v>
      </c>
      <c r="C22" s="193" t="s">
        <v>1915</v>
      </c>
      <c r="D22" s="192">
        <v>24231</v>
      </c>
      <c r="E22" s="196">
        <v>66842.64</v>
      </c>
      <c r="F22" s="196"/>
      <c r="G22" s="197" t="s">
        <v>1388</v>
      </c>
    </row>
    <row r="23" spans="1:7">
      <c r="A23" s="328">
        <v>44473</v>
      </c>
      <c r="B23" s="237">
        <v>44476</v>
      </c>
      <c r="C23" s="193" t="s">
        <v>1916</v>
      </c>
      <c r="D23" s="192">
        <v>24232</v>
      </c>
      <c r="E23" s="196">
        <v>134037.75</v>
      </c>
      <c r="F23" s="196"/>
      <c r="G23" s="197" t="s">
        <v>1388</v>
      </c>
    </row>
    <row r="24" spans="1:7">
      <c r="A24" s="328">
        <v>44473</v>
      </c>
      <c r="B24" s="237">
        <v>44476</v>
      </c>
      <c r="C24" s="193" t="s">
        <v>1917</v>
      </c>
      <c r="D24" s="192">
        <v>24233</v>
      </c>
      <c r="E24" s="196">
        <v>67305.03</v>
      </c>
      <c r="F24" s="196"/>
      <c r="G24" s="197" t="s">
        <v>1388</v>
      </c>
    </row>
    <row r="25" spans="1:7">
      <c r="A25" s="328">
        <v>44473</v>
      </c>
      <c r="B25" s="330">
        <v>44476</v>
      </c>
      <c r="C25" s="193" t="s">
        <v>1918</v>
      </c>
      <c r="D25" s="192">
        <v>24234</v>
      </c>
      <c r="E25" s="196">
        <v>133645.94</v>
      </c>
      <c r="F25" s="196"/>
      <c r="G25" s="197" t="s">
        <v>1388</v>
      </c>
    </row>
    <row r="26" spans="1:7">
      <c r="A26" s="328">
        <v>44473</v>
      </c>
      <c r="B26" s="237">
        <v>44476</v>
      </c>
      <c r="C26" s="193" t="s">
        <v>1919</v>
      </c>
      <c r="D26" s="192">
        <v>24235</v>
      </c>
      <c r="E26" s="196">
        <v>33651.360000000001</v>
      </c>
      <c r="F26" s="196"/>
      <c r="G26" s="197" t="s">
        <v>1388</v>
      </c>
    </row>
    <row r="27" spans="1:7">
      <c r="A27" s="328">
        <v>44473</v>
      </c>
      <c r="B27" s="237">
        <v>44476</v>
      </c>
      <c r="C27" s="193" t="s">
        <v>1920</v>
      </c>
      <c r="D27" s="192">
        <v>24236</v>
      </c>
      <c r="E27" s="196">
        <v>11460.54</v>
      </c>
      <c r="F27" s="196"/>
      <c r="G27" s="197" t="s">
        <v>1388</v>
      </c>
    </row>
    <row r="28" spans="1:7">
      <c r="A28" s="328">
        <v>44473</v>
      </c>
      <c r="B28" s="237">
        <v>44476</v>
      </c>
      <c r="C28" s="193" t="s">
        <v>1921</v>
      </c>
      <c r="D28" s="192">
        <v>24237</v>
      </c>
      <c r="E28" s="196">
        <v>224733.68</v>
      </c>
      <c r="F28" s="196"/>
      <c r="G28" s="197" t="s">
        <v>1388</v>
      </c>
    </row>
    <row r="29" spans="1:7">
      <c r="A29" s="328">
        <v>44473</v>
      </c>
      <c r="B29" s="237">
        <v>44476</v>
      </c>
      <c r="C29" s="193" t="s">
        <v>1922</v>
      </c>
      <c r="D29" s="192">
        <v>24239</v>
      </c>
      <c r="E29" s="196">
        <v>43262.57</v>
      </c>
      <c r="F29" s="196"/>
      <c r="G29" s="197" t="s">
        <v>1388</v>
      </c>
    </row>
    <row r="30" spans="1:7">
      <c r="A30" s="328">
        <v>44473</v>
      </c>
      <c r="B30" s="237">
        <v>44476</v>
      </c>
      <c r="C30" s="193" t="s">
        <v>1923</v>
      </c>
      <c r="D30" s="192">
        <v>24240</v>
      </c>
      <c r="E30" s="196">
        <v>86812.82</v>
      </c>
      <c r="F30" s="196"/>
      <c r="G30" s="197" t="s">
        <v>1388</v>
      </c>
    </row>
    <row r="31" spans="1:7">
      <c r="A31" s="328">
        <v>44473</v>
      </c>
      <c r="B31" s="237">
        <v>44476</v>
      </c>
      <c r="C31" s="193" t="s">
        <v>1924</v>
      </c>
      <c r="D31" s="192">
        <v>24241</v>
      </c>
      <c r="E31" s="196">
        <v>199517.77</v>
      </c>
      <c r="F31" s="196"/>
      <c r="G31" s="197" t="s">
        <v>1388</v>
      </c>
    </row>
    <row r="32" spans="1:7">
      <c r="A32" s="328">
        <v>44473</v>
      </c>
      <c r="B32" s="237">
        <v>44476</v>
      </c>
      <c r="C32" s="193" t="s">
        <v>1925</v>
      </c>
      <c r="D32" s="192">
        <v>24242</v>
      </c>
      <c r="E32" s="196">
        <v>156532.99</v>
      </c>
      <c r="F32" s="196"/>
      <c r="G32" s="197" t="s">
        <v>1388</v>
      </c>
    </row>
    <row r="33" spans="1:7">
      <c r="A33" s="328">
        <v>44473</v>
      </c>
      <c r="B33" s="237">
        <v>44476</v>
      </c>
      <c r="C33" s="193" t="s">
        <v>1926</v>
      </c>
      <c r="D33" s="192">
        <v>24243</v>
      </c>
      <c r="E33" s="196">
        <v>18844.02</v>
      </c>
      <c r="F33" s="196"/>
      <c r="G33" s="197" t="s">
        <v>1388</v>
      </c>
    </row>
    <row r="34" spans="1:7">
      <c r="A34" s="328">
        <v>44473</v>
      </c>
      <c r="B34" s="237">
        <v>44476</v>
      </c>
      <c r="C34" s="193" t="s">
        <v>1927</v>
      </c>
      <c r="D34" s="192">
        <v>24244</v>
      </c>
      <c r="E34" s="196">
        <v>32780.33</v>
      </c>
      <c r="F34" s="196"/>
      <c r="G34" s="197" t="s">
        <v>1388</v>
      </c>
    </row>
    <row r="35" spans="1:7">
      <c r="A35" s="328">
        <v>44473</v>
      </c>
      <c r="B35" s="237">
        <v>44476</v>
      </c>
      <c r="C35" s="193" t="s">
        <v>1928</v>
      </c>
      <c r="D35" s="192">
        <v>24245</v>
      </c>
      <c r="E35" s="196">
        <v>102443.32</v>
      </c>
      <c r="F35" s="196"/>
      <c r="G35" s="197" t="s">
        <v>1388</v>
      </c>
    </row>
    <row r="36" spans="1:7">
      <c r="A36" s="328">
        <v>44473</v>
      </c>
      <c r="B36" s="237">
        <v>44476</v>
      </c>
      <c r="C36" s="193" t="s">
        <v>1929</v>
      </c>
      <c r="D36" s="192">
        <v>24246</v>
      </c>
      <c r="E36" s="196">
        <v>11460.54</v>
      </c>
      <c r="F36" s="196"/>
      <c r="G36" s="197" t="s">
        <v>1388</v>
      </c>
    </row>
    <row r="37" spans="1:7">
      <c r="A37" s="328">
        <v>44473</v>
      </c>
      <c r="B37" s="237">
        <v>44476</v>
      </c>
      <c r="C37" s="193" t="s">
        <v>1930</v>
      </c>
      <c r="D37" s="192">
        <v>24248</v>
      </c>
      <c r="E37" s="196">
        <v>83651.360000000001</v>
      </c>
      <c r="F37" s="196"/>
      <c r="G37" s="197" t="s">
        <v>1388</v>
      </c>
    </row>
    <row r="38" spans="1:7">
      <c r="A38" s="328">
        <v>44473</v>
      </c>
      <c r="B38" s="237">
        <v>44476</v>
      </c>
      <c r="C38" s="193" t="s">
        <v>1931</v>
      </c>
      <c r="D38" s="192">
        <v>24249</v>
      </c>
      <c r="E38" s="196">
        <v>66842.64</v>
      </c>
      <c r="F38" s="196"/>
      <c r="G38" s="197" t="s">
        <v>1388</v>
      </c>
    </row>
    <row r="39" spans="1:7">
      <c r="A39" s="328">
        <v>44473</v>
      </c>
      <c r="B39" s="237">
        <v>44476</v>
      </c>
      <c r="C39" s="193" t="s">
        <v>1932</v>
      </c>
      <c r="D39" s="192">
        <v>24250</v>
      </c>
      <c r="E39" s="196">
        <v>69587.759999999995</v>
      </c>
      <c r="F39" s="196"/>
      <c r="G39" s="197" t="s">
        <v>1388</v>
      </c>
    </row>
    <row r="40" spans="1:7">
      <c r="A40" s="328">
        <v>44473</v>
      </c>
      <c r="B40" s="237">
        <v>44476</v>
      </c>
      <c r="C40" s="193" t="s">
        <v>1933</v>
      </c>
      <c r="D40" s="192">
        <v>24252</v>
      </c>
      <c r="E40" s="196">
        <v>82042.77</v>
      </c>
      <c r="F40" s="196"/>
      <c r="G40" s="197" t="s">
        <v>1388</v>
      </c>
    </row>
    <row r="41" spans="1:7">
      <c r="A41" s="328">
        <v>44473</v>
      </c>
      <c r="B41" s="237">
        <v>44476</v>
      </c>
      <c r="C41" s="193" t="s">
        <v>1934</v>
      </c>
      <c r="D41" s="192">
        <v>24253</v>
      </c>
      <c r="E41" s="196">
        <v>21344.02</v>
      </c>
      <c r="F41" s="196"/>
      <c r="G41" s="197" t="s">
        <v>1388</v>
      </c>
    </row>
    <row r="42" spans="1:7">
      <c r="A42" s="328">
        <v>44473</v>
      </c>
      <c r="B42" s="237">
        <v>44476</v>
      </c>
      <c r="C42" s="193" t="s">
        <v>1935</v>
      </c>
      <c r="D42" s="192">
        <v>24254</v>
      </c>
      <c r="E42" s="196">
        <v>11229.81</v>
      </c>
      <c r="F42" s="196"/>
      <c r="G42" s="197" t="s">
        <v>1388</v>
      </c>
    </row>
    <row r="43" spans="1:7">
      <c r="A43" s="328">
        <v>44473</v>
      </c>
      <c r="B43" s="237">
        <v>44476</v>
      </c>
      <c r="C43" s="193" t="s">
        <v>1936</v>
      </c>
      <c r="D43" s="192">
        <v>24256</v>
      </c>
      <c r="E43" s="196">
        <v>23740.97</v>
      </c>
      <c r="F43" s="196"/>
      <c r="G43" s="197" t="s">
        <v>1388</v>
      </c>
    </row>
    <row r="44" spans="1:7">
      <c r="A44" s="328">
        <v>44473</v>
      </c>
      <c r="B44" s="237">
        <v>44476</v>
      </c>
      <c r="C44" s="193" t="s">
        <v>1937</v>
      </c>
      <c r="D44" s="192">
        <v>24257</v>
      </c>
      <c r="E44" s="196">
        <v>122486.16</v>
      </c>
      <c r="F44" s="196"/>
      <c r="G44" s="197" t="s">
        <v>1388</v>
      </c>
    </row>
    <row r="45" spans="1:7">
      <c r="A45" s="328">
        <v>44473</v>
      </c>
      <c r="B45" s="237">
        <v>44476</v>
      </c>
      <c r="C45" s="193" t="s">
        <v>1938</v>
      </c>
      <c r="D45" s="192">
        <v>24258</v>
      </c>
      <c r="E45" s="196">
        <v>90916.5</v>
      </c>
      <c r="F45" s="196"/>
      <c r="G45" s="197" t="s">
        <v>1388</v>
      </c>
    </row>
    <row r="46" spans="1:7">
      <c r="A46" s="328">
        <v>44473</v>
      </c>
      <c r="B46" s="237">
        <v>44476</v>
      </c>
      <c r="C46" s="193" t="s">
        <v>1939</v>
      </c>
      <c r="D46" s="192">
        <v>24259</v>
      </c>
      <c r="E46" s="196">
        <v>107456.85</v>
      </c>
      <c r="F46" s="196"/>
      <c r="G46" s="197" t="s">
        <v>1388</v>
      </c>
    </row>
    <row r="47" spans="1:7">
      <c r="A47" s="328">
        <v>44473</v>
      </c>
      <c r="B47" s="237">
        <v>44476</v>
      </c>
      <c r="C47" s="193" t="s">
        <v>1940</v>
      </c>
      <c r="D47" s="192">
        <v>24260</v>
      </c>
      <c r="E47" s="196">
        <v>85958.7</v>
      </c>
      <c r="F47" s="196"/>
      <c r="G47" s="197" t="s">
        <v>1388</v>
      </c>
    </row>
    <row r="48" spans="1:7">
      <c r="A48" s="328">
        <v>44473</v>
      </c>
      <c r="B48" s="237">
        <v>44476</v>
      </c>
      <c r="C48" s="193" t="s">
        <v>1941</v>
      </c>
      <c r="D48" s="192">
        <v>24261</v>
      </c>
      <c r="E48" s="196">
        <v>24873.1</v>
      </c>
      <c r="F48" s="196"/>
      <c r="G48" s="197" t="s">
        <v>1388</v>
      </c>
    </row>
    <row r="49" spans="1:7">
      <c r="A49" s="328">
        <v>44473</v>
      </c>
      <c r="B49" s="237">
        <v>44476</v>
      </c>
      <c r="C49" s="193" t="s">
        <v>1942</v>
      </c>
      <c r="D49" s="192">
        <v>24262</v>
      </c>
      <c r="E49" s="196">
        <v>107565.56</v>
      </c>
      <c r="F49" s="196"/>
      <c r="G49" s="197" t="s">
        <v>1388</v>
      </c>
    </row>
    <row r="50" spans="1:7">
      <c r="A50" s="328">
        <v>44473</v>
      </c>
      <c r="B50" s="237">
        <v>44476</v>
      </c>
      <c r="C50" s="193" t="s">
        <v>1943</v>
      </c>
      <c r="D50" s="192">
        <v>24263</v>
      </c>
      <c r="E50" s="196">
        <v>59358.68</v>
      </c>
      <c r="F50" s="196"/>
      <c r="G50" s="197" t="s">
        <v>1388</v>
      </c>
    </row>
    <row r="51" spans="1:7">
      <c r="A51" s="328">
        <v>44473</v>
      </c>
      <c r="B51" s="237">
        <v>44476</v>
      </c>
      <c r="C51" s="193" t="s">
        <v>1240</v>
      </c>
      <c r="D51" s="192">
        <v>24264</v>
      </c>
      <c r="E51" s="196">
        <v>79200</v>
      </c>
      <c r="F51" s="196"/>
      <c r="G51" s="197" t="s">
        <v>1388</v>
      </c>
    </row>
    <row r="52" spans="1:7">
      <c r="A52" s="328">
        <v>44473</v>
      </c>
      <c r="B52" s="237">
        <v>44476</v>
      </c>
      <c r="C52" s="193" t="s">
        <v>1944</v>
      </c>
      <c r="D52" s="192">
        <v>24265</v>
      </c>
      <c r="E52" s="196">
        <v>38844.019999999997</v>
      </c>
      <c r="F52" s="196"/>
      <c r="G52" s="197" t="s">
        <v>1388</v>
      </c>
    </row>
    <row r="53" spans="1:7">
      <c r="A53" s="328">
        <v>44473</v>
      </c>
      <c r="B53" s="237">
        <v>44476</v>
      </c>
      <c r="C53" s="193" t="s">
        <v>1945</v>
      </c>
      <c r="D53" s="192">
        <v>24266</v>
      </c>
      <c r="E53" s="196">
        <v>52177.35</v>
      </c>
      <c r="F53" s="196"/>
      <c r="G53" s="197" t="s">
        <v>1388</v>
      </c>
    </row>
    <row r="54" spans="1:7">
      <c r="A54" s="328">
        <v>44473</v>
      </c>
      <c r="B54" s="237">
        <v>44476</v>
      </c>
      <c r="C54" s="193" t="s">
        <v>1946</v>
      </c>
      <c r="D54" s="192">
        <v>24267</v>
      </c>
      <c r="E54" s="196">
        <v>83458.7</v>
      </c>
      <c r="F54" s="196"/>
      <c r="G54" s="197" t="s">
        <v>1388</v>
      </c>
    </row>
    <row r="55" spans="1:7">
      <c r="A55" s="328">
        <v>44473</v>
      </c>
      <c r="B55" s="237">
        <v>44476</v>
      </c>
      <c r="C55" s="193" t="s">
        <v>1947</v>
      </c>
      <c r="D55" s="192">
        <v>24268</v>
      </c>
      <c r="E55" s="196">
        <v>177053.3</v>
      </c>
      <c r="F55" s="196"/>
      <c r="G55" s="197" t="s">
        <v>1388</v>
      </c>
    </row>
    <row r="56" spans="1:7">
      <c r="A56" s="328">
        <v>44473</v>
      </c>
      <c r="B56" s="237">
        <v>44476</v>
      </c>
      <c r="C56" s="193" t="s">
        <v>1948</v>
      </c>
      <c r="D56" s="192">
        <v>24269</v>
      </c>
      <c r="E56" s="196">
        <v>103016.5</v>
      </c>
      <c r="F56" s="196"/>
      <c r="G56" s="197" t="s">
        <v>1388</v>
      </c>
    </row>
    <row r="57" spans="1:7">
      <c r="A57" s="328">
        <v>44473</v>
      </c>
      <c r="B57" s="237">
        <v>44476</v>
      </c>
      <c r="C57" s="193" t="s">
        <v>1949</v>
      </c>
      <c r="D57" s="192">
        <v>24270</v>
      </c>
      <c r="E57" s="196">
        <v>95125.37</v>
      </c>
      <c r="F57" s="196"/>
      <c r="G57" s="197" t="s">
        <v>1388</v>
      </c>
    </row>
    <row r="58" spans="1:7">
      <c r="A58" s="328">
        <v>44473</v>
      </c>
      <c r="B58" s="237">
        <v>44476</v>
      </c>
      <c r="C58" s="193" t="s">
        <v>1950</v>
      </c>
      <c r="D58" s="192">
        <v>24271</v>
      </c>
      <c r="E58" s="196">
        <v>12691.37</v>
      </c>
      <c r="F58" s="196"/>
      <c r="G58" s="197" t="s">
        <v>1388</v>
      </c>
    </row>
    <row r="59" spans="1:7">
      <c r="A59" s="328">
        <v>44473</v>
      </c>
      <c r="B59" s="237">
        <v>44476</v>
      </c>
      <c r="C59" s="193" t="s">
        <v>1951</v>
      </c>
      <c r="D59" s="192">
        <v>24272</v>
      </c>
      <c r="E59" s="196">
        <v>35573.370000000003</v>
      </c>
      <c r="F59" s="196"/>
      <c r="G59" s="197" t="s">
        <v>1388</v>
      </c>
    </row>
    <row r="60" spans="1:7">
      <c r="A60" s="328">
        <v>44473</v>
      </c>
      <c r="B60" s="237">
        <v>44480</v>
      </c>
      <c r="C60" s="193" t="s">
        <v>1952</v>
      </c>
      <c r="D60" s="192">
        <v>24273</v>
      </c>
      <c r="E60" s="196">
        <v>131665.74</v>
      </c>
      <c r="F60" s="196"/>
      <c r="G60" s="197" t="s">
        <v>1388</v>
      </c>
    </row>
    <row r="61" spans="1:7">
      <c r="A61" s="328">
        <v>44473</v>
      </c>
      <c r="B61" s="237">
        <v>44476</v>
      </c>
      <c r="C61" s="193" t="s">
        <v>1953</v>
      </c>
      <c r="D61" s="192">
        <v>24274</v>
      </c>
      <c r="E61" s="196">
        <v>154000</v>
      </c>
      <c r="F61" s="196"/>
      <c r="G61" s="197" t="s">
        <v>1388</v>
      </c>
    </row>
    <row r="62" spans="1:7">
      <c r="A62" s="328">
        <v>44473</v>
      </c>
      <c r="B62" s="237">
        <v>44480</v>
      </c>
      <c r="C62" s="193" t="s">
        <v>1954</v>
      </c>
      <c r="D62" s="192">
        <v>24275</v>
      </c>
      <c r="E62" s="196">
        <v>25958.7</v>
      </c>
      <c r="F62" s="196"/>
      <c r="G62" s="197" t="s">
        <v>1388</v>
      </c>
    </row>
    <row r="63" spans="1:7">
      <c r="A63" s="328">
        <v>44473</v>
      </c>
      <c r="B63" s="237">
        <v>44476</v>
      </c>
      <c r="C63" s="193" t="s">
        <v>1955</v>
      </c>
      <c r="D63" s="192">
        <v>24276</v>
      </c>
      <c r="E63" s="196">
        <v>142450</v>
      </c>
      <c r="F63" s="196"/>
      <c r="G63" s="197" t="s">
        <v>1388</v>
      </c>
    </row>
    <row r="64" spans="1:7">
      <c r="A64" s="328">
        <v>44473</v>
      </c>
      <c r="B64" s="237">
        <v>44476</v>
      </c>
      <c r="C64" s="193" t="s">
        <v>1214</v>
      </c>
      <c r="D64" s="192">
        <v>24277</v>
      </c>
      <c r="E64" s="196">
        <v>183750</v>
      </c>
      <c r="F64" s="196"/>
      <c r="G64" s="197" t="s">
        <v>1388</v>
      </c>
    </row>
    <row r="65" spans="1:9">
      <c r="A65" s="328">
        <v>44473</v>
      </c>
      <c r="B65" s="237">
        <v>44476</v>
      </c>
      <c r="C65" s="193" t="s">
        <v>1956</v>
      </c>
      <c r="D65" s="192">
        <v>24278</v>
      </c>
      <c r="E65" s="196">
        <v>23478.43</v>
      </c>
      <c r="F65" s="196"/>
      <c r="G65" s="197" t="s">
        <v>1388</v>
      </c>
    </row>
    <row r="66" spans="1:9">
      <c r="A66" s="328">
        <v>44473</v>
      </c>
      <c r="B66" s="237">
        <v>44476</v>
      </c>
      <c r="C66" s="193" t="s">
        <v>1957</v>
      </c>
      <c r="D66" s="192">
        <v>24279</v>
      </c>
      <c r="E66" s="196">
        <v>88842.64</v>
      </c>
      <c r="F66" s="196"/>
      <c r="G66" s="197" t="s">
        <v>1388</v>
      </c>
    </row>
    <row r="67" spans="1:9">
      <c r="A67" s="328">
        <v>44473</v>
      </c>
      <c r="B67" s="237">
        <v>44476</v>
      </c>
      <c r="C67" s="193" t="s">
        <v>1958</v>
      </c>
      <c r="D67" s="192">
        <v>24280</v>
      </c>
      <c r="E67" s="196">
        <v>138917.85999999999</v>
      </c>
      <c r="F67" s="196"/>
      <c r="G67" s="197" t="s">
        <v>1388</v>
      </c>
    </row>
    <row r="68" spans="1:9">
      <c r="A68" s="328">
        <v>44473</v>
      </c>
      <c r="B68" s="237">
        <v>44476</v>
      </c>
      <c r="C68" s="193" t="s">
        <v>1959</v>
      </c>
      <c r="D68" s="192">
        <v>24281</v>
      </c>
      <c r="E68" s="196">
        <v>209275.81</v>
      </c>
      <c r="F68" s="196"/>
      <c r="G68" s="197" t="s">
        <v>1388</v>
      </c>
    </row>
    <row r="69" spans="1:9">
      <c r="A69" s="328">
        <v>44473</v>
      </c>
      <c r="B69" s="237">
        <v>44476</v>
      </c>
      <c r="C69" s="193" t="s">
        <v>1960</v>
      </c>
      <c r="D69" s="192">
        <v>24282</v>
      </c>
      <c r="E69" s="196">
        <v>11460.54</v>
      </c>
      <c r="F69" s="196"/>
      <c r="G69" s="197" t="s">
        <v>1388</v>
      </c>
    </row>
    <row r="70" spans="1:9">
      <c r="A70" s="328">
        <v>44473</v>
      </c>
      <c r="B70" s="237">
        <v>44476</v>
      </c>
      <c r="C70" s="193" t="s">
        <v>1961</v>
      </c>
      <c r="D70" s="192">
        <v>24283</v>
      </c>
      <c r="E70" s="196">
        <v>95958.7</v>
      </c>
      <c r="F70" s="196"/>
      <c r="G70" s="197" t="s">
        <v>1388</v>
      </c>
    </row>
    <row r="71" spans="1:9">
      <c r="A71" s="328">
        <v>44473</v>
      </c>
      <c r="B71" s="237">
        <v>44476</v>
      </c>
      <c r="C71" s="193" t="s">
        <v>1962</v>
      </c>
      <c r="D71" s="192">
        <v>24284</v>
      </c>
      <c r="E71" s="196">
        <v>154206.85</v>
      </c>
      <c r="F71" s="196"/>
      <c r="G71" s="197" t="s">
        <v>1388</v>
      </c>
    </row>
    <row r="72" spans="1:9">
      <c r="A72" s="328">
        <v>44473</v>
      </c>
      <c r="B72" s="237">
        <v>44476</v>
      </c>
      <c r="C72" s="193" t="s">
        <v>1963</v>
      </c>
      <c r="D72" s="192">
        <v>24285</v>
      </c>
      <c r="E72" s="196">
        <v>25255.34</v>
      </c>
      <c r="F72" s="196"/>
      <c r="G72" s="197" t="s">
        <v>1388</v>
      </c>
    </row>
    <row r="73" spans="1:9">
      <c r="A73" s="328">
        <v>44473</v>
      </c>
      <c r="B73" s="237">
        <v>44476</v>
      </c>
      <c r="C73" s="193" t="s">
        <v>1964</v>
      </c>
      <c r="D73" s="192">
        <v>24286</v>
      </c>
      <c r="E73" s="196">
        <v>37565.480000000003</v>
      </c>
      <c r="F73" s="196"/>
      <c r="G73" s="197" t="s">
        <v>1388</v>
      </c>
    </row>
    <row r="74" spans="1:9">
      <c r="A74" s="328">
        <v>44473</v>
      </c>
      <c r="B74" s="237">
        <v>44489</v>
      </c>
      <c r="C74" s="193" t="s">
        <v>1965</v>
      </c>
      <c r="D74" s="192">
        <v>24287</v>
      </c>
      <c r="E74" s="196">
        <v>36548.22</v>
      </c>
      <c r="F74" s="196"/>
      <c r="G74" s="197" t="s">
        <v>1388</v>
      </c>
    </row>
    <row r="75" spans="1:9">
      <c r="A75" s="328">
        <v>44473</v>
      </c>
      <c r="B75" s="237">
        <v>44476</v>
      </c>
      <c r="C75" s="193" t="s">
        <v>1966</v>
      </c>
      <c r="D75" s="192">
        <v>24288</v>
      </c>
      <c r="E75" s="196">
        <v>52177.35</v>
      </c>
      <c r="F75" s="196"/>
      <c r="G75" s="197" t="s">
        <v>1388</v>
      </c>
    </row>
    <row r="76" spans="1:9">
      <c r="A76" s="328">
        <v>44473</v>
      </c>
      <c r="B76" s="237">
        <v>44476</v>
      </c>
      <c r="C76" s="193" t="s">
        <v>1967</v>
      </c>
      <c r="D76" s="192">
        <v>24289</v>
      </c>
      <c r="E76" s="196">
        <v>117717.64</v>
      </c>
      <c r="F76" s="196"/>
      <c r="G76" s="197" t="s">
        <v>1388</v>
      </c>
    </row>
    <row r="77" spans="1:9">
      <c r="A77" s="328">
        <v>44474</v>
      </c>
      <c r="B77" s="237">
        <v>44476</v>
      </c>
      <c r="C77" s="193" t="s">
        <v>1968</v>
      </c>
      <c r="D77" s="192">
        <v>24290</v>
      </c>
      <c r="E77" s="196">
        <v>78478.429999999993</v>
      </c>
      <c r="F77" s="196"/>
      <c r="G77" s="197" t="s">
        <v>1388</v>
      </c>
    </row>
    <row r="78" spans="1:9">
      <c r="A78" s="328">
        <v>44475</v>
      </c>
      <c r="B78" s="237">
        <v>44476</v>
      </c>
      <c r="C78" s="193" t="s">
        <v>1389</v>
      </c>
      <c r="D78" s="192">
        <v>24291</v>
      </c>
      <c r="E78" s="196">
        <v>1929825</v>
      </c>
      <c r="F78" s="196"/>
      <c r="G78" s="197" t="s">
        <v>1390</v>
      </c>
    </row>
    <row r="79" spans="1:9">
      <c r="A79" s="328">
        <v>44476</v>
      </c>
      <c r="B79" s="237">
        <v>44476</v>
      </c>
      <c r="C79" s="193" t="s">
        <v>1389</v>
      </c>
      <c r="D79" s="192">
        <v>24292</v>
      </c>
      <c r="E79" s="196">
        <v>1293310</v>
      </c>
      <c r="F79" s="196"/>
      <c r="G79" s="197" t="s">
        <v>1390</v>
      </c>
    </row>
    <row r="80" spans="1:9">
      <c r="A80" s="328">
        <v>44476</v>
      </c>
      <c r="B80" s="237">
        <v>44491</v>
      </c>
      <c r="C80" s="193" t="s">
        <v>1189</v>
      </c>
      <c r="D80" s="192">
        <v>24293</v>
      </c>
      <c r="E80" s="196">
        <v>2363790</v>
      </c>
      <c r="F80" s="196"/>
      <c r="G80" s="197" t="s">
        <v>923</v>
      </c>
      <c r="I80" s="198">
        <v>124410</v>
      </c>
    </row>
    <row r="81" spans="1:9">
      <c r="A81" s="328">
        <v>44476</v>
      </c>
      <c r="B81" s="237">
        <v>44498</v>
      </c>
      <c r="C81" s="193" t="s">
        <v>1346</v>
      </c>
      <c r="D81" s="192">
        <v>24294</v>
      </c>
      <c r="E81" s="196">
        <v>2600169</v>
      </c>
      <c r="F81" s="196"/>
      <c r="G81" s="197" t="s">
        <v>923</v>
      </c>
      <c r="I81" s="198">
        <v>136851</v>
      </c>
    </row>
    <row r="82" spans="1:9">
      <c r="A82" s="328">
        <v>44476</v>
      </c>
      <c r="B82" s="237">
        <v>44481</v>
      </c>
      <c r="C82" s="193" t="s">
        <v>1088</v>
      </c>
      <c r="D82" s="192">
        <v>24295</v>
      </c>
      <c r="E82" s="196">
        <v>215152</v>
      </c>
      <c r="F82" s="196"/>
      <c r="G82" s="197" t="s">
        <v>962</v>
      </c>
      <c r="I82" s="198">
        <v>9520</v>
      </c>
    </row>
    <row r="83" spans="1:9">
      <c r="A83" s="328">
        <v>44476</v>
      </c>
      <c r="B83" s="237">
        <v>44482</v>
      </c>
      <c r="C83" s="193" t="s">
        <v>1904</v>
      </c>
      <c r="D83" s="192">
        <v>24296</v>
      </c>
      <c r="E83" s="196">
        <v>445360</v>
      </c>
      <c r="F83" s="196"/>
      <c r="G83" s="197" t="s">
        <v>1387</v>
      </c>
      <c r="I83" s="198">
        <v>23440</v>
      </c>
    </row>
    <row r="84" spans="1:9">
      <c r="A84" s="328">
        <v>44476</v>
      </c>
      <c r="B84" s="237">
        <v>44480</v>
      </c>
      <c r="C84" s="193" t="s">
        <v>1348</v>
      </c>
      <c r="D84" s="192">
        <v>24298</v>
      </c>
      <c r="E84" s="196">
        <v>10721000</v>
      </c>
      <c r="F84" s="196"/>
      <c r="G84" s="197" t="s">
        <v>1387</v>
      </c>
    </row>
    <row r="85" spans="1:9">
      <c r="A85" s="328">
        <v>44476</v>
      </c>
      <c r="B85" s="237">
        <v>44482</v>
      </c>
      <c r="C85" s="193" t="s">
        <v>1904</v>
      </c>
      <c r="D85" s="192">
        <v>24299</v>
      </c>
      <c r="E85" s="196">
        <v>1639233.07</v>
      </c>
      <c r="F85" s="196"/>
      <c r="G85" s="197" t="s">
        <v>1387</v>
      </c>
      <c r="I85" s="198">
        <f>69959.45+14000</f>
        <v>83959.45</v>
      </c>
    </row>
    <row r="86" spans="1:9">
      <c r="A86" s="328">
        <v>44476</v>
      </c>
      <c r="B86" s="237">
        <v>44481</v>
      </c>
      <c r="C86" s="193" t="s">
        <v>1821</v>
      </c>
      <c r="D86" s="192">
        <v>24300</v>
      </c>
      <c r="E86" s="196">
        <v>59626.71</v>
      </c>
      <c r="F86" s="196"/>
      <c r="G86" s="197" t="s">
        <v>102</v>
      </c>
      <c r="I86" s="198">
        <v>2638.35</v>
      </c>
    </row>
    <row r="87" spans="1:9">
      <c r="A87" s="328">
        <v>44476</v>
      </c>
      <c r="B87" s="237">
        <v>44482</v>
      </c>
      <c r="C87" s="193" t="s">
        <v>1725</v>
      </c>
      <c r="D87" s="192">
        <v>24301</v>
      </c>
      <c r="E87" s="196">
        <v>57630</v>
      </c>
      <c r="F87" s="196"/>
      <c r="G87" s="197" t="s">
        <v>102</v>
      </c>
      <c r="I87" s="198">
        <v>2550</v>
      </c>
    </row>
    <row r="88" spans="1:9">
      <c r="A88" s="328">
        <v>44476</v>
      </c>
      <c r="B88" s="237">
        <v>44480</v>
      </c>
      <c r="C88" s="193" t="s">
        <v>147</v>
      </c>
      <c r="D88" s="192">
        <v>24302</v>
      </c>
      <c r="E88" s="196">
        <v>64464.24</v>
      </c>
      <c r="F88" s="196"/>
      <c r="G88" s="197" t="s">
        <v>102</v>
      </c>
      <c r="I88" s="198">
        <v>2852.4</v>
      </c>
    </row>
    <row r="89" spans="1:9">
      <c r="A89" s="328">
        <v>44477</v>
      </c>
      <c r="B89" s="237">
        <v>44482</v>
      </c>
      <c r="C89" s="193" t="s">
        <v>1969</v>
      </c>
      <c r="D89" s="192">
        <v>24303</v>
      </c>
      <c r="E89" s="196">
        <v>53240.74</v>
      </c>
      <c r="F89" s="196"/>
      <c r="G89" s="197" t="s">
        <v>1388</v>
      </c>
    </row>
    <row r="90" spans="1:9">
      <c r="A90" s="328">
        <v>44477</v>
      </c>
      <c r="B90" s="237">
        <v>44481</v>
      </c>
      <c r="C90" s="193" t="s">
        <v>1970</v>
      </c>
      <c r="D90" s="192">
        <v>24304</v>
      </c>
      <c r="E90" s="196">
        <v>25383.02</v>
      </c>
      <c r="F90" s="196"/>
      <c r="G90" s="197" t="s">
        <v>1388</v>
      </c>
    </row>
    <row r="91" spans="1:9">
      <c r="A91" s="328">
        <v>44477</v>
      </c>
      <c r="B91" s="237">
        <v>44481</v>
      </c>
      <c r="C91" s="193" t="s">
        <v>1971</v>
      </c>
      <c r="D91" s="192">
        <v>24306</v>
      </c>
      <c r="E91" s="196">
        <v>27411.17</v>
      </c>
      <c r="F91" s="196"/>
      <c r="G91" s="197" t="s">
        <v>1388</v>
      </c>
    </row>
    <row r="92" spans="1:9">
      <c r="A92" s="328">
        <v>44477</v>
      </c>
      <c r="B92" s="237">
        <v>44489</v>
      </c>
      <c r="C92" s="193" t="s">
        <v>1972</v>
      </c>
      <c r="D92" s="192">
        <v>24307</v>
      </c>
      <c r="E92" s="196">
        <v>74484.69</v>
      </c>
      <c r="F92" s="196"/>
      <c r="G92" s="197" t="s">
        <v>1388</v>
      </c>
    </row>
    <row r="93" spans="1:9">
      <c r="A93" s="328">
        <v>44477</v>
      </c>
      <c r="B93" s="237">
        <v>44481</v>
      </c>
      <c r="C93" s="193" t="s">
        <v>1973</v>
      </c>
      <c r="D93" s="192">
        <v>24308</v>
      </c>
      <c r="E93" s="196">
        <v>74484.69</v>
      </c>
      <c r="F93" s="196"/>
      <c r="G93" s="197" t="s">
        <v>1388</v>
      </c>
    </row>
    <row r="94" spans="1:9">
      <c r="A94" s="328">
        <v>44477</v>
      </c>
      <c r="B94" s="237">
        <v>44481</v>
      </c>
      <c r="C94" s="193" t="s">
        <v>1974</v>
      </c>
      <c r="D94" s="192">
        <v>24309</v>
      </c>
      <c r="E94" s="196">
        <v>113274.75</v>
      </c>
      <c r="F94" s="196"/>
      <c r="G94" s="197" t="s">
        <v>1388</v>
      </c>
    </row>
    <row r="95" spans="1:9">
      <c r="A95" s="328">
        <v>44477</v>
      </c>
      <c r="B95" s="237">
        <v>44481</v>
      </c>
      <c r="C95" s="193" t="s">
        <v>1975</v>
      </c>
      <c r="D95" s="192">
        <v>24310</v>
      </c>
      <c r="E95" s="196">
        <v>75414.67</v>
      </c>
      <c r="F95" s="196"/>
      <c r="G95" s="197" t="s">
        <v>1388</v>
      </c>
    </row>
    <row r="96" spans="1:9">
      <c r="A96" s="328">
        <v>44477</v>
      </c>
      <c r="B96" s="237">
        <v>44489</v>
      </c>
      <c r="C96" s="193" t="s">
        <v>1976</v>
      </c>
      <c r="D96" s="192">
        <v>24311</v>
      </c>
      <c r="E96" s="196">
        <v>14973.08</v>
      </c>
      <c r="F96" s="196"/>
      <c r="G96" s="197" t="s">
        <v>1388</v>
      </c>
    </row>
    <row r="97" spans="1:13">
      <c r="A97" s="328">
        <v>44477</v>
      </c>
      <c r="B97" s="237">
        <v>44482</v>
      </c>
      <c r="C97" s="193" t="s">
        <v>1977</v>
      </c>
      <c r="D97" s="192">
        <v>24312</v>
      </c>
      <c r="E97" s="196">
        <v>83626.52</v>
      </c>
      <c r="F97" s="196"/>
      <c r="G97" s="197" t="s">
        <v>1388</v>
      </c>
    </row>
    <row r="98" spans="1:13">
      <c r="A98" s="328">
        <v>44477</v>
      </c>
      <c r="B98" s="237">
        <v>44482</v>
      </c>
      <c r="C98" s="193" t="s">
        <v>1978</v>
      </c>
      <c r="D98" s="192">
        <v>24313</v>
      </c>
      <c r="E98" s="196">
        <v>40510.69</v>
      </c>
      <c r="F98" s="196"/>
      <c r="G98" s="197" t="s">
        <v>1388</v>
      </c>
    </row>
    <row r="99" spans="1:13">
      <c r="A99" s="328">
        <v>44477</v>
      </c>
      <c r="B99" s="237">
        <v>44482</v>
      </c>
      <c r="C99" s="193" t="s">
        <v>1979</v>
      </c>
      <c r="D99" s="192">
        <v>24314</v>
      </c>
      <c r="E99" s="196">
        <v>170998.39999999999</v>
      </c>
      <c r="F99" s="196"/>
      <c r="G99" s="197" t="s">
        <v>1388</v>
      </c>
    </row>
    <row r="100" spans="1:13">
      <c r="A100" s="328">
        <v>44477</v>
      </c>
      <c r="B100" s="237">
        <v>44482</v>
      </c>
      <c r="C100" s="193" t="s">
        <v>1980</v>
      </c>
      <c r="D100" s="192">
        <v>24315</v>
      </c>
      <c r="E100" s="196">
        <v>44220.639999999999</v>
      </c>
      <c r="F100" s="196"/>
      <c r="G100" s="197" t="s">
        <v>1388</v>
      </c>
    </row>
    <row r="101" spans="1:13">
      <c r="A101" s="328">
        <v>44477</v>
      </c>
      <c r="B101" s="237">
        <v>44482</v>
      </c>
      <c r="C101" s="193" t="s">
        <v>1981</v>
      </c>
      <c r="D101" s="192">
        <v>24316</v>
      </c>
      <c r="E101" s="196">
        <v>71344.02</v>
      </c>
      <c r="F101" s="196"/>
      <c r="G101" s="197" t="s">
        <v>1388</v>
      </c>
    </row>
    <row r="102" spans="1:13">
      <c r="A102" s="328">
        <v>44477</v>
      </c>
      <c r="B102" s="237">
        <v>44484</v>
      </c>
      <c r="C102" s="193" t="s">
        <v>1982</v>
      </c>
      <c r="D102" s="192">
        <v>24317</v>
      </c>
      <c r="E102" s="196">
        <v>51344.02</v>
      </c>
      <c r="F102" s="196"/>
      <c r="G102" s="197" t="s">
        <v>1388</v>
      </c>
    </row>
    <row r="103" spans="1:13">
      <c r="A103" s="328">
        <v>44477</v>
      </c>
      <c r="B103" s="237">
        <v>44482</v>
      </c>
      <c r="C103" s="193" t="s">
        <v>1983</v>
      </c>
      <c r="D103" s="192">
        <v>24318</v>
      </c>
      <c r="E103" s="196">
        <v>71344.02</v>
      </c>
      <c r="F103" s="196"/>
      <c r="G103" s="197" t="s">
        <v>1388</v>
      </c>
    </row>
    <row r="104" spans="1:13">
      <c r="A104" s="328">
        <v>44477</v>
      </c>
      <c r="B104" s="237">
        <v>44482</v>
      </c>
      <c r="C104" s="193" t="s">
        <v>1984</v>
      </c>
      <c r="D104" s="192">
        <v>24319</v>
      </c>
      <c r="E104" s="196">
        <v>40020.04</v>
      </c>
      <c r="F104" s="196"/>
      <c r="G104" s="197" t="s">
        <v>1388</v>
      </c>
    </row>
    <row r="105" spans="1:13">
      <c r="A105" s="328">
        <v>44477</v>
      </c>
      <c r="B105" s="237">
        <v>44482</v>
      </c>
      <c r="C105" s="193" t="s">
        <v>1985</v>
      </c>
      <c r="D105" s="192">
        <v>24320</v>
      </c>
      <c r="E105" s="196">
        <v>98458.7</v>
      </c>
      <c r="F105" s="196"/>
      <c r="G105" s="197" t="s">
        <v>1388</v>
      </c>
    </row>
    <row r="106" spans="1:13">
      <c r="A106" s="328">
        <v>44477</v>
      </c>
      <c r="B106" s="237">
        <v>44482</v>
      </c>
      <c r="C106" s="193" t="s">
        <v>2020</v>
      </c>
      <c r="D106" s="192">
        <v>24321</v>
      </c>
      <c r="E106" s="196">
        <v>1438719.6</v>
      </c>
      <c r="F106" s="196"/>
      <c r="G106" s="197" t="s">
        <v>102</v>
      </c>
      <c r="I106" s="198">
        <v>139058.4</v>
      </c>
    </row>
    <row r="107" spans="1:13">
      <c r="A107" s="328">
        <v>44477</v>
      </c>
      <c r="B107" s="237">
        <v>44482</v>
      </c>
      <c r="C107" s="193" t="s">
        <v>1986</v>
      </c>
      <c r="D107" s="192">
        <v>24322</v>
      </c>
      <c r="E107" s="196">
        <v>56529.760000000002</v>
      </c>
      <c r="F107" s="196"/>
      <c r="G107" s="197" t="s">
        <v>1388</v>
      </c>
    </row>
    <row r="108" spans="1:13">
      <c r="A108" s="328">
        <v>44480</v>
      </c>
      <c r="B108" s="237">
        <v>44482</v>
      </c>
      <c r="C108" s="193" t="s">
        <v>1987</v>
      </c>
      <c r="D108" s="192">
        <v>24324</v>
      </c>
      <c r="E108" s="196">
        <v>244220.12</v>
      </c>
      <c r="F108" s="196"/>
      <c r="G108" s="197" t="s">
        <v>1388</v>
      </c>
    </row>
    <row r="109" spans="1:13">
      <c r="A109" s="328">
        <v>44480</v>
      </c>
      <c r="B109" s="237">
        <v>44482</v>
      </c>
      <c r="C109" s="193" t="s">
        <v>1988</v>
      </c>
      <c r="D109" s="192">
        <v>24325</v>
      </c>
      <c r="E109" s="196">
        <v>94554.57</v>
      </c>
      <c r="F109" s="196"/>
      <c r="G109" s="197" t="s">
        <v>1388</v>
      </c>
    </row>
    <row r="110" spans="1:13">
      <c r="A110" s="328">
        <v>44480</v>
      </c>
      <c r="B110" s="237">
        <v>44481</v>
      </c>
      <c r="C110" s="193" t="s">
        <v>1389</v>
      </c>
      <c r="D110" s="192">
        <v>24326</v>
      </c>
      <c r="E110" s="196">
        <v>1061655</v>
      </c>
      <c r="F110" s="196"/>
      <c r="G110" s="197" t="s">
        <v>1390</v>
      </c>
    </row>
    <row r="111" spans="1:13">
      <c r="A111" s="328">
        <v>44481</v>
      </c>
      <c r="B111" s="237">
        <v>44482</v>
      </c>
      <c r="C111" s="193" t="s">
        <v>1255</v>
      </c>
      <c r="D111" s="192">
        <v>24327</v>
      </c>
      <c r="E111" s="196">
        <v>441000</v>
      </c>
      <c r="F111" s="196"/>
      <c r="G111" s="197" t="s">
        <v>134</v>
      </c>
      <c r="J111" s="198">
        <v>49000</v>
      </c>
      <c r="M111" s="198">
        <v>88200</v>
      </c>
    </row>
    <row r="112" spans="1:13">
      <c r="A112" s="328">
        <v>44481</v>
      </c>
      <c r="B112" s="237">
        <v>44480</v>
      </c>
      <c r="C112" s="193" t="s">
        <v>1725</v>
      </c>
      <c r="D112" s="192">
        <v>24328</v>
      </c>
      <c r="E112" s="196">
        <v>57630</v>
      </c>
      <c r="F112" s="196"/>
      <c r="G112" s="197" t="s">
        <v>102</v>
      </c>
      <c r="I112" s="198">
        <v>2550</v>
      </c>
    </row>
    <row r="113" spans="1:8">
      <c r="A113" s="328">
        <v>44482</v>
      </c>
      <c r="B113" s="237">
        <v>44484</v>
      </c>
      <c r="C113" s="193" t="s">
        <v>1224</v>
      </c>
      <c r="D113" s="192">
        <v>24329</v>
      </c>
      <c r="E113" s="196">
        <v>15000</v>
      </c>
      <c r="F113" s="196">
        <f>+E113</f>
        <v>15000</v>
      </c>
      <c r="G113" s="197" t="s">
        <v>162</v>
      </c>
      <c r="H113" s="198">
        <v>15000</v>
      </c>
    </row>
    <row r="114" spans="1:8">
      <c r="A114" s="328">
        <v>44482</v>
      </c>
      <c r="B114" s="237">
        <v>44484</v>
      </c>
      <c r="C114" s="193" t="s">
        <v>1224</v>
      </c>
      <c r="D114" s="192">
        <v>24329</v>
      </c>
      <c r="E114" s="196">
        <v>73629.13</v>
      </c>
      <c r="F114" s="196">
        <f>+E114</f>
        <v>73629.13</v>
      </c>
      <c r="G114" s="197" t="s">
        <v>1383</v>
      </c>
      <c r="H114" s="198">
        <v>73629.13</v>
      </c>
    </row>
    <row r="115" spans="1:8">
      <c r="A115" s="328">
        <v>44482</v>
      </c>
      <c r="B115" s="237">
        <v>44484</v>
      </c>
      <c r="C115" s="193" t="s">
        <v>1224</v>
      </c>
      <c r="D115" s="192">
        <v>24329</v>
      </c>
      <c r="E115" s="196">
        <v>176413.33999999997</v>
      </c>
      <c r="F115" s="196"/>
      <c r="G115" s="197" t="s">
        <v>1902</v>
      </c>
      <c r="H115" s="198">
        <f>48166.7+7770+105779.15+14697.49</f>
        <v>176413.33999999997</v>
      </c>
    </row>
    <row r="116" spans="1:8">
      <c r="A116" s="328">
        <v>44482</v>
      </c>
      <c r="B116" s="237">
        <v>44484</v>
      </c>
      <c r="C116" s="193" t="s">
        <v>1224</v>
      </c>
      <c r="D116" s="192">
        <v>24329</v>
      </c>
      <c r="E116" s="196">
        <v>18828.5</v>
      </c>
      <c r="F116" s="196"/>
      <c r="G116" s="197" t="s">
        <v>962</v>
      </c>
      <c r="H116" s="198">
        <v>18828.5</v>
      </c>
    </row>
    <row r="117" spans="1:8">
      <c r="A117" s="328">
        <v>44482</v>
      </c>
      <c r="B117" s="237">
        <v>44484</v>
      </c>
      <c r="C117" s="193" t="s">
        <v>1224</v>
      </c>
      <c r="D117" s="192">
        <v>24329</v>
      </c>
      <c r="E117" s="196">
        <v>1100</v>
      </c>
      <c r="F117" s="196">
        <f>+E117</f>
        <v>1100</v>
      </c>
      <c r="G117" s="197" t="s">
        <v>24</v>
      </c>
      <c r="H117" s="198">
        <v>1100</v>
      </c>
    </row>
    <row r="118" spans="1:8">
      <c r="A118" s="328">
        <v>44482</v>
      </c>
      <c r="B118" s="237">
        <v>44482</v>
      </c>
      <c r="C118" s="193" t="s">
        <v>1389</v>
      </c>
      <c r="D118" s="192">
        <v>24330</v>
      </c>
      <c r="E118" s="196">
        <v>1293285</v>
      </c>
      <c r="F118" s="196"/>
      <c r="G118" s="197" t="s">
        <v>1390</v>
      </c>
    </row>
    <row r="119" spans="1:8">
      <c r="A119" s="328">
        <v>44482</v>
      </c>
      <c r="B119" s="237">
        <v>44482</v>
      </c>
      <c r="C119" s="193" t="s">
        <v>1389</v>
      </c>
      <c r="D119" s="192">
        <v>24331</v>
      </c>
      <c r="E119" s="196">
        <v>4000000</v>
      </c>
      <c r="F119" s="196"/>
      <c r="G119" s="197" t="s">
        <v>1390</v>
      </c>
    </row>
    <row r="120" spans="1:8">
      <c r="A120" s="328">
        <v>44483</v>
      </c>
      <c r="B120" s="237">
        <v>44487</v>
      </c>
      <c r="C120" s="193" t="s">
        <v>1989</v>
      </c>
      <c r="D120" s="192">
        <v>24333</v>
      </c>
      <c r="E120" s="196">
        <v>500000</v>
      </c>
      <c r="F120" s="196"/>
      <c r="G120" s="197" t="s">
        <v>1388</v>
      </c>
    </row>
    <row r="121" spans="1:8">
      <c r="A121" s="328">
        <v>44483</v>
      </c>
      <c r="B121" s="237">
        <v>44489</v>
      </c>
      <c r="C121" s="193" t="s">
        <v>1990</v>
      </c>
      <c r="D121" s="192">
        <v>24334</v>
      </c>
      <c r="E121" s="196">
        <v>115090.56</v>
      </c>
      <c r="F121" s="196"/>
      <c r="G121" s="197" t="s">
        <v>1388</v>
      </c>
    </row>
    <row r="122" spans="1:8">
      <c r="A122" s="328">
        <v>44483</v>
      </c>
      <c r="B122" s="237">
        <v>44489</v>
      </c>
      <c r="C122" s="193" t="s">
        <v>1991</v>
      </c>
      <c r="D122" s="192">
        <v>24335</v>
      </c>
      <c r="E122" s="196">
        <v>96456.85</v>
      </c>
      <c r="F122" s="196"/>
      <c r="G122" s="197" t="s">
        <v>1388</v>
      </c>
    </row>
    <row r="123" spans="1:8">
      <c r="A123" s="328">
        <v>44483</v>
      </c>
      <c r="B123" s="237">
        <v>44489</v>
      </c>
      <c r="C123" s="193" t="s">
        <v>1992</v>
      </c>
      <c r="D123" s="192">
        <v>24336</v>
      </c>
      <c r="E123" s="196">
        <v>88108.29</v>
      </c>
      <c r="F123" s="196"/>
      <c r="G123" s="197" t="s">
        <v>1388</v>
      </c>
    </row>
    <row r="124" spans="1:8">
      <c r="A124" s="328">
        <v>44483</v>
      </c>
      <c r="B124" s="237">
        <v>44484</v>
      </c>
      <c r="C124" s="193" t="s">
        <v>1993</v>
      </c>
      <c r="D124" s="192">
        <v>24337</v>
      </c>
      <c r="E124" s="196">
        <v>80974.11</v>
      </c>
      <c r="F124" s="196"/>
      <c r="G124" s="197" t="s">
        <v>1388</v>
      </c>
    </row>
    <row r="125" spans="1:8">
      <c r="A125" s="328">
        <v>44483</v>
      </c>
      <c r="B125" s="237">
        <v>44482</v>
      </c>
      <c r="C125" s="193" t="s">
        <v>1994</v>
      </c>
      <c r="D125" s="192">
        <v>24338</v>
      </c>
      <c r="E125" s="196">
        <v>51344.02</v>
      </c>
      <c r="F125" s="196"/>
      <c r="G125" s="197" t="s">
        <v>1388</v>
      </c>
    </row>
    <row r="126" spans="1:8">
      <c r="A126" s="328">
        <v>44483</v>
      </c>
      <c r="B126" s="237">
        <v>44484</v>
      </c>
      <c r="C126" s="193" t="s">
        <v>1995</v>
      </c>
      <c r="D126" s="192">
        <v>24339</v>
      </c>
      <c r="E126" s="196">
        <v>84348.03</v>
      </c>
      <c r="F126" s="196"/>
      <c r="G126" s="197" t="s">
        <v>1388</v>
      </c>
    </row>
    <row r="127" spans="1:8">
      <c r="A127" s="328">
        <v>44483</v>
      </c>
      <c r="B127" s="237">
        <v>44476</v>
      </c>
      <c r="C127" s="193" t="s">
        <v>1996</v>
      </c>
      <c r="D127" s="192">
        <v>24340</v>
      </c>
      <c r="E127" s="196">
        <v>36548.22</v>
      </c>
      <c r="F127" s="196"/>
      <c r="G127" s="197" t="s">
        <v>1388</v>
      </c>
    </row>
    <row r="128" spans="1:8">
      <c r="A128" s="328">
        <v>44483</v>
      </c>
      <c r="B128" s="237">
        <v>44487</v>
      </c>
      <c r="C128" s="193" t="s">
        <v>1809</v>
      </c>
      <c r="D128" s="192">
        <v>24341</v>
      </c>
      <c r="E128" s="196">
        <v>6500000</v>
      </c>
      <c r="F128" s="196"/>
      <c r="G128" s="197" t="s">
        <v>1889</v>
      </c>
    </row>
    <row r="129" spans="1:7">
      <c r="A129" s="328">
        <v>44483</v>
      </c>
      <c r="B129" s="237">
        <v>44481</v>
      </c>
      <c r="C129" s="193" t="s">
        <v>1997</v>
      </c>
      <c r="D129" s="192">
        <v>24342</v>
      </c>
      <c r="E129" s="196">
        <v>74484.69</v>
      </c>
      <c r="F129" s="196"/>
      <c r="G129" s="197" t="s">
        <v>1388</v>
      </c>
    </row>
    <row r="130" spans="1:7">
      <c r="A130" s="328">
        <v>44483</v>
      </c>
      <c r="B130" s="237">
        <v>44476</v>
      </c>
      <c r="C130" s="193" t="s">
        <v>1998</v>
      </c>
      <c r="D130" s="192">
        <v>24343</v>
      </c>
      <c r="E130" s="196">
        <v>52177.35</v>
      </c>
      <c r="F130" s="196"/>
      <c r="G130" s="197" t="s">
        <v>1388</v>
      </c>
    </row>
    <row r="131" spans="1:7">
      <c r="A131" s="328">
        <v>44483</v>
      </c>
      <c r="B131" s="237">
        <v>44489</v>
      </c>
      <c r="C131" s="193" t="s">
        <v>1999</v>
      </c>
      <c r="D131" s="192">
        <v>24344</v>
      </c>
      <c r="E131" s="196">
        <v>105497.23</v>
      </c>
      <c r="F131" s="196"/>
      <c r="G131" s="197" t="s">
        <v>1388</v>
      </c>
    </row>
    <row r="132" spans="1:7">
      <c r="A132" s="328">
        <v>44483</v>
      </c>
      <c r="B132" s="237">
        <v>44489</v>
      </c>
      <c r="C132" s="193" t="s">
        <v>2000</v>
      </c>
      <c r="D132" s="192">
        <v>24345</v>
      </c>
      <c r="E132" s="196">
        <v>76447.97</v>
      </c>
      <c r="F132" s="196"/>
      <c r="G132" s="197" t="s">
        <v>1388</v>
      </c>
    </row>
    <row r="133" spans="1:7">
      <c r="A133" s="328">
        <v>44483</v>
      </c>
      <c r="B133" s="237">
        <v>44489</v>
      </c>
      <c r="C133" s="193" t="s">
        <v>2001</v>
      </c>
      <c r="D133" s="192">
        <v>24346</v>
      </c>
      <c r="E133" s="196">
        <v>100011.17</v>
      </c>
      <c r="F133" s="196"/>
      <c r="G133" s="197" t="s">
        <v>1388</v>
      </c>
    </row>
    <row r="134" spans="1:7">
      <c r="A134" s="328">
        <v>44484</v>
      </c>
      <c r="B134" s="237">
        <v>44489</v>
      </c>
      <c r="C134" s="193" t="s">
        <v>2002</v>
      </c>
      <c r="D134" s="192">
        <v>24347</v>
      </c>
      <c r="E134" s="196">
        <v>156047.59</v>
      </c>
      <c r="F134" s="196"/>
      <c r="G134" s="197" t="s">
        <v>1388</v>
      </c>
    </row>
    <row r="135" spans="1:7">
      <c r="A135" s="328">
        <v>44484</v>
      </c>
      <c r="B135" s="237">
        <v>44488</v>
      </c>
      <c r="C135" s="193" t="s">
        <v>1389</v>
      </c>
      <c r="D135" s="192">
        <v>24348</v>
      </c>
      <c r="E135" s="196">
        <v>5000000</v>
      </c>
      <c r="F135" s="196"/>
      <c r="G135" s="197" t="s">
        <v>1390</v>
      </c>
    </row>
    <row r="136" spans="1:7">
      <c r="A136" s="328">
        <v>44484</v>
      </c>
      <c r="B136" s="237">
        <v>44488</v>
      </c>
      <c r="C136" s="193" t="s">
        <v>1389</v>
      </c>
      <c r="D136" s="192">
        <v>24349</v>
      </c>
      <c r="E136" s="196">
        <v>5000000</v>
      </c>
      <c r="F136" s="196"/>
      <c r="G136" s="197" t="s">
        <v>1390</v>
      </c>
    </row>
    <row r="137" spans="1:7">
      <c r="A137" s="328">
        <v>44484</v>
      </c>
      <c r="B137" s="237">
        <v>44488</v>
      </c>
      <c r="C137" s="193" t="s">
        <v>1389</v>
      </c>
      <c r="D137" s="192">
        <v>24351</v>
      </c>
      <c r="E137" s="196">
        <v>5000000</v>
      </c>
      <c r="F137" s="196"/>
      <c r="G137" s="197" t="s">
        <v>1390</v>
      </c>
    </row>
    <row r="138" spans="1:7">
      <c r="A138" s="328">
        <v>44484</v>
      </c>
      <c r="B138" s="237">
        <v>44488</v>
      </c>
      <c r="C138" s="193" t="s">
        <v>1389</v>
      </c>
      <c r="D138" s="192">
        <v>24352</v>
      </c>
      <c r="E138" s="196">
        <v>700000</v>
      </c>
      <c r="F138" s="196"/>
      <c r="G138" s="197" t="s">
        <v>1390</v>
      </c>
    </row>
    <row r="139" spans="1:7">
      <c r="A139" s="328">
        <v>44484</v>
      </c>
      <c r="B139" s="237">
        <v>44488</v>
      </c>
      <c r="C139" s="193" t="s">
        <v>1389</v>
      </c>
      <c r="D139" s="192">
        <v>24353</v>
      </c>
      <c r="E139" s="196">
        <v>5000000</v>
      </c>
      <c r="F139" s="196"/>
      <c r="G139" s="197" t="s">
        <v>1390</v>
      </c>
    </row>
    <row r="140" spans="1:7">
      <c r="A140" s="328">
        <v>44487</v>
      </c>
      <c r="B140" s="237">
        <v>44487</v>
      </c>
      <c r="C140" s="193" t="s">
        <v>1389</v>
      </c>
      <c r="D140" s="192">
        <v>24354</v>
      </c>
      <c r="E140" s="196">
        <v>609195</v>
      </c>
      <c r="F140" s="196"/>
      <c r="G140" s="197" t="s">
        <v>1390</v>
      </c>
    </row>
    <row r="141" spans="1:7">
      <c r="A141" s="328">
        <v>44487</v>
      </c>
      <c r="B141" s="237">
        <v>44487</v>
      </c>
      <c r="C141" s="193" t="s">
        <v>1389</v>
      </c>
      <c r="D141" s="192">
        <v>24355</v>
      </c>
      <c r="E141" s="196">
        <v>3000000</v>
      </c>
      <c r="F141" s="196"/>
      <c r="G141" s="197" t="s">
        <v>1390</v>
      </c>
    </row>
    <row r="142" spans="1:7">
      <c r="A142" s="328">
        <v>44487</v>
      </c>
      <c r="B142" s="237">
        <v>44481</v>
      </c>
      <c r="C142" s="193" t="s">
        <v>2003</v>
      </c>
      <c r="D142" s="192">
        <v>24356</v>
      </c>
      <c r="E142" s="196">
        <v>14973.08</v>
      </c>
      <c r="F142" s="196"/>
      <c r="G142" s="197" t="s">
        <v>1388</v>
      </c>
    </row>
    <row r="143" spans="1:7">
      <c r="A143" s="328">
        <v>44487</v>
      </c>
      <c r="B143" s="237">
        <v>44489</v>
      </c>
      <c r="C143" s="193" t="s">
        <v>2004</v>
      </c>
      <c r="D143" s="192">
        <v>24357</v>
      </c>
      <c r="E143" s="196">
        <v>77561.759999999995</v>
      </c>
      <c r="F143" s="196"/>
      <c r="G143" s="197" t="s">
        <v>1388</v>
      </c>
    </row>
    <row r="144" spans="1:7">
      <c r="A144" s="328">
        <v>44487</v>
      </c>
      <c r="B144" s="237">
        <v>44489</v>
      </c>
      <c r="C144" s="193" t="s">
        <v>2005</v>
      </c>
      <c r="D144" s="192">
        <v>24358</v>
      </c>
      <c r="E144" s="196">
        <v>133645.94</v>
      </c>
      <c r="F144" s="196"/>
      <c r="G144" s="197" t="s">
        <v>1388</v>
      </c>
    </row>
    <row r="145" spans="1:8">
      <c r="A145" s="328">
        <v>44487</v>
      </c>
      <c r="B145" s="237">
        <v>44489</v>
      </c>
      <c r="C145" s="193" t="s">
        <v>1158</v>
      </c>
      <c r="D145" s="192">
        <v>24359</v>
      </c>
      <c r="E145" s="196">
        <v>2425842.96</v>
      </c>
      <c r="F145" s="196">
        <f>+E145+E144</f>
        <v>2559488.9</v>
      </c>
      <c r="G145" s="197" t="s">
        <v>1395</v>
      </c>
    </row>
    <row r="146" spans="1:8">
      <c r="A146" s="328">
        <v>44487</v>
      </c>
      <c r="B146" s="237">
        <v>44489</v>
      </c>
      <c r="C146" s="193" t="s">
        <v>1158</v>
      </c>
      <c r="D146" s="192">
        <v>24360</v>
      </c>
      <c r="E146" s="198">
        <v>65631.929999999993</v>
      </c>
      <c r="F146" s="198"/>
      <c r="G146" s="197" t="s">
        <v>1372</v>
      </c>
      <c r="H146" s="198">
        <v>65631.929999999993</v>
      </c>
    </row>
    <row r="147" spans="1:8">
      <c r="A147" s="328">
        <v>44487</v>
      </c>
      <c r="B147" s="237">
        <v>44489</v>
      </c>
      <c r="C147" s="193" t="s">
        <v>1158</v>
      </c>
      <c r="D147" s="192">
        <v>24360</v>
      </c>
      <c r="E147" s="198">
        <v>11212</v>
      </c>
      <c r="F147" s="198"/>
      <c r="G147" s="197" t="s">
        <v>570</v>
      </c>
      <c r="H147" s="198">
        <v>11212</v>
      </c>
    </row>
    <row r="148" spans="1:8">
      <c r="A148" s="328">
        <v>44487</v>
      </c>
      <c r="B148" s="237">
        <v>44489</v>
      </c>
      <c r="C148" s="193" t="s">
        <v>1158</v>
      </c>
      <c r="D148" s="192">
        <v>24360</v>
      </c>
      <c r="E148" s="198">
        <v>3792.56</v>
      </c>
      <c r="F148" s="198"/>
      <c r="G148" s="197" t="s">
        <v>168</v>
      </c>
      <c r="H148" s="198">
        <v>3792.56</v>
      </c>
    </row>
    <row r="149" spans="1:8">
      <c r="A149" s="328">
        <v>44487</v>
      </c>
      <c r="B149" s="237">
        <v>44489</v>
      </c>
      <c r="C149" s="193" t="s">
        <v>1158</v>
      </c>
      <c r="D149" s="192">
        <v>24360</v>
      </c>
      <c r="E149" s="198">
        <v>6200</v>
      </c>
      <c r="F149" s="198"/>
      <c r="G149" s="197" t="s">
        <v>21</v>
      </c>
      <c r="H149" s="198">
        <v>6200</v>
      </c>
    </row>
    <row r="150" spans="1:8">
      <c r="A150" s="328">
        <v>44487</v>
      </c>
      <c r="B150" s="237">
        <v>44489</v>
      </c>
      <c r="C150" s="193" t="s">
        <v>1158</v>
      </c>
      <c r="D150" s="192">
        <v>24360</v>
      </c>
      <c r="E150" s="198">
        <v>5382</v>
      </c>
      <c r="F150" s="198"/>
      <c r="G150" s="197" t="s">
        <v>1377</v>
      </c>
      <c r="H150" s="198">
        <v>5382</v>
      </c>
    </row>
    <row r="151" spans="1:8">
      <c r="A151" s="328">
        <v>44487</v>
      </c>
      <c r="B151" s="237">
        <v>44489</v>
      </c>
      <c r="C151" s="193" t="s">
        <v>1158</v>
      </c>
      <c r="D151" s="192">
        <v>24360</v>
      </c>
      <c r="E151" s="198">
        <v>30793.809999999998</v>
      </c>
      <c r="F151" s="198"/>
      <c r="G151" s="197" t="s">
        <v>1379</v>
      </c>
      <c r="H151" s="198">
        <v>30793.809999999998</v>
      </c>
    </row>
    <row r="152" spans="1:8">
      <c r="A152" s="328">
        <v>44487</v>
      </c>
      <c r="B152" s="237">
        <v>44489</v>
      </c>
      <c r="C152" s="193" t="s">
        <v>1158</v>
      </c>
      <c r="D152" s="192">
        <v>24360</v>
      </c>
      <c r="E152" s="198">
        <v>1376.11</v>
      </c>
      <c r="F152" s="198"/>
      <c r="G152" s="197" t="s">
        <v>1380</v>
      </c>
      <c r="H152" s="198">
        <v>1376.11</v>
      </c>
    </row>
    <row r="153" spans="1:8">
      <c r="A153" s="328">
        <v>44487</v>
      </c>
      <c r="B153" s="237">
        <v>44489</v>
      </c>
      <c r="C153" s="193" t="s">
        <v>1158</v>
      </c>
      <c r="D153" s="192">
        <v>24360</v>
      </c>
      <c r="E153" s="198">
        <v>36064.68</v>
      </c>
      <c r="F153" s="198"/>
      <c r="G153" s="197" t="s">
        <v>705</v>
      </c>
      <c r="H153" s="198">
        <v>36064.68</v>
      </c>
    </row>
    <row r="154" spans="1:8">
      <c r="A154" s="328">
        <v>44487</v>
      </c>
      <c r="B154" s="237">
        <v>44489</v>
      </c>
      <c r="C154" s="193" t="s">
        <v>1158</v>
      </c>
      <c r="D154" s="192">
        <v>24360</v>
      </c>
      <c r="E154" s="198">
        <v>122833</v>
      </c>
      <c r="F154" s="198"/>
      <c r="G154" s="197" t="s">
        <v>1868</v>
      </c>
      <c r="H154" s="198">
        <v>122833</v>
      </c>
    </row>
    <row r="155" spans="1:8">
      <c r="A155" s="328">
        <v>44487</v>
      </c>
      <c r="B155" s="237">
        <v>44489</v>
      </c>
      <c r="C155" s="193" t="s">
        <v>1158</v>
      </c>
      <c r="D155" s="192">
        <v>24360</v>
      </c>
      <c r="E155" s="198">
        <v>207901.17</v>
      </c>
      <c r="F155" s="198">
        <f>SUM(E152:E155)</f>
        <v>368174.96</v>
      </c>
      <c r="G155" s="197" t="s">
        <v>1869</v>
      </c>
      <c r="H155" s="198">
        <v>207901.17</v>
      </c>
    </row>
    <row r="156" spans="1:8">
      <c r="A156" s="328">
        <v>44487</v>
      </c>
      <c r="B156" s="237">
        <v>44489</v>
      </c>
      <c r="C156" s="193" t="s">
        <v>1158</v>
      </c>
      <c r="D156" s="192">
        <v>24360</v>
      </c>
      <c r="E156" s="198">
        <v>65694.03</v>
      </c>
      <c r="F156" s="198"/>
      <c r="G156" s="197" t="s">
        <v>1870</v>
      </c>
      <c r="H156" s="198">
        <v>65694.03</v>
      </c>
    </row>
    <row r="157" spans="1:8">
      <c r="A157" s="328">
        <v>44487</v>
      </c>
      <c r="B157" s="237">
        <v>44489</v>
      </c>
      <c r="C157" s="193" t="s">
        <v>1158</v>
      </c>
      <c r="D157" s="192">
        <v>24360</v>
      </c>
      <c r="E157" s="198">
        <v>13929.68</v>
      </c>
      <c r="F157" s="198"/>
      <c r="G157" s="197" t="s">
        <v>962</v>
      </c>
      <c r="H157" s="198">
        <v>13929.68</v>
      </c>
    </row>
    <row r="158" spans="1:8">
      <c r="A158" s="328">
        <v>44487</v>
      </c>
      <c r="B158" s="237">
        <v>44489</v>
      </c>
      <c r="C158" s="193" t="s">
        <v>1158</v>
      </c>
      <c r="D158" s="192">
        <v>24360</v>
      </c>
      <c r="E158" s="198">
        <v>586671.5</v>
      </c>
      <c r="F158" s="198"/>
      <c r="G158" s="197" t="s">
        <v>1387</v>
      </c>
      <c r="H158" s="198">
        <v>586671.5</v>
      </c>
    </row>
    <row r="159" spans="1:8">
      <c r="A159" s="328">
        <v>44487</v>
      </c>
      <c r="B159" s="237">
        <v>44489</v>
      </c>
      <c r="C159" s="193" t="s">
        <v>1158</v>
      </c>
      <c r="D159" s="192">
        <v>24360</v>
      </c>
      <c r="E159" s="198">
        <v>251116.35</v>
      </c>
      <c r="F159" s="198"/>
      <c r="G159" s="197" t="s">
        <v>102</v>
      </c>
      <c r="H159" s="198">
        <v>251116.35</v>
      </c>
    </row>
    <row r="160" spans="1:8">
      <c r="A160" s="328">
        <v>44487</v>
      </c>
      <c r="B160" s="237">
        <v>44489</v>
      </c>
      <c r="C160" s="193" t="s">
        <v>1158</v>
      </c>
      <c r="D160" s="192">
        <v>24360</v>
      </c>
      <c r="E160" s="198">
        <v>20726.97</v>
      </c>
      <c r="F160" s="198"/>
      <c r="G160" s="197" t="s">
        <v>597</v>
      </c>
      <c r="H160" s="198">
        <v>20726.97</v>
      </c>
    </row>
    <row r="161" spans="1:14">
      <c r="A161" s="328">
        <v>44487</v>
      </c>
      <c r="B161" s="237">
        <v>44489</v>
      </c>
      <c r="C161" s="193" t="s">
        <v>1158</v>
      </c>
      <c r="D161" s="192">
        <v>24360</v>
      </c>
      <c r="E161" s="198">
        <v>440</v>
      </c>
      <c r="F161" s="198"/>
      <c r="G161" s="197" t="s">
        <v>1683</v>
      </c>
      <c r="H161" s="198">
        <v>440</v>
      </c>
    </row>
    <row r="162" spans="1:14">
      <c r="A162" s="328">
        <v>44487</v>
      </c>
      <c r="B162" s="237">
        <v>44489</v>
      </c>
      <c r="C162" s="193" t="s">
        <v>1158</v>
      </c>
      <c r="D162" s="192">
        <v>24360</v>
      </c>
      <c r="E162" s="198">
        <v>20250</v>
      </c>
      <c r="F162" s="198"/>
      <c r="G162" s="197" t="s">
        <v>1394</v>
      </c>
      <c r="H162" s="198">
        <v>20250</v>
      </c>
    </row>
    <row r="163" spans="1:14">
      <c r="A163" s="328">
        <v>44487</v>
      </c>
      <c r="B163" s="237">
        <v>44489</v>
      </c>
      <c r="C163" s="193" t="s">
        <v>1158</v>
      </c>
      <c r="D163" s="192">
        <v>24360</v>
      </c>
      <c r="E163" s="198">
        <v>31303.200000000001</v>
      </c>
      <c r="F163" s="198">
        <f>+E163</f>
        <v>31303.200000000001</v>
      </c>
      <c r="G163" s="197" t="s">
        <v>519</v>
      </c>
      <c r="H163" s="198">
        <v>31303.200000000001</v>
      </c>
    </row>
    <row r="164" spans="1:14">
      <c r="A164" s="328">
        <v>44488</v>
      </c>
      <c r="B164" s="237">
        <v>44491</v>
      </c>
      <c r="C164" s="193" t="s">
        <v>1381</v>
      </c>
      <c r="D164" s="192">
        <v>24361</v>
      </c>
      <c r="E164" s="196">
        <v>24373.13</v>
      </c>
      <c r="F164" s="196"/>
      <c r="G164" s="197" t="s">
        <v>1380</v>
      </c>
      <c r="I164" s="110">
        <v>1282.8</v>
      </c>
    </row>
    <row r="165" spans="1:14">
      <c r="A165" s="328">
        <v>44488</v>
      </c>
      <c r="B165" s="237">
        <v>44491</v>
      </c>
      <c r="C165" s="193" t="s">
        <v>1319</v>
      </c>
      <c r="D165" s="192">
        <v>24362</v>
      </c>
      <c r="E165" s="196">
        <v>651305.06000000006</v>
      </c>
      <c r="F165" s="196"/>
      <c r="G165" s="197" t="s">
        <v>1380</v>
      </c>
      <c r="I165" s="110">
        <v>34279.21</v>
      </c>
    </row>
    <row r="166" spans="1:14">
      <c r="A166" s="328">
        <v>44488</v>
      </c>
      <c r="B166" s="237">
        <v>44491</v>
      </c>
      <c r="C166" s="193" t="s">
        <v>1332</v>
      </c>
      <c r="D166" s="192">
        <v>24363</v>
      </c>
      <c r="E166" s="196">
        <v>490097.41</v>
      </c>
      <c r="F166" s="196">
        <f>+E166+E165</f>
        <v>1141402.47</v>
      </c>
      <c r="G166" s="197" t="s">
        <v>597</v>
      </c>
    </row>
    <row r="167" spans="1:14">
      <c r="A167" s="328">
        <v>44488</v>
      </c>
      <c r="B167" s="237">
        <v>44491</v>
      </c>
      <c r="C167" s="193" t="s">
        <v>1900</v>
      </c>
      <c r="D167" s="192">
        <v>24364</v>
      </c>
      <c r="E167" s="196">
        <v>130734</v>
      </c>
      <c r="F167" s="196"/>
      <c r="G167" s="197" t="s">
        <v>705</v>
      </c>
      <c r="I167" s="198">
        <v>6075</v>
      </c>
      <c r="N167" s="198">
        <v>6561</v>
      </c>
    </row>
    <row r="168" spans="1:14">
      <c r="A168" s="328">
        <v>44488</v>
      </c>
      <c r="B168" s="237">
        <v>44491</v>
      </c>
      <c r="C168" s="193" t="s">
        <v>1850</v>
      </c>
      <c r="D168" s="192">
        <v>24365</v>
      </c>
      <c r="E168" s="196">
        <v>123244.58</v>
      </c>
      <c r="F168" s="196"/>
      <c r="G168" s="197" t="s">
        <v>1902</v>
      </c>
      <c r="I168" s="198">
        <v>5453.3</v>
      </c>
    </row>
    <row r="169" spans="1:14">
      <c r="A169" s="328">
        <v>44488</v>
      </c>
      <c r="B169" s="237">
        <v>44491</v>
      </c>
      <c r="C169" s="193" t="s">
        <v>1131</v>
      </c>
      <c r="D169" s="192">
        <v>24366</v>
      </c>
      <c r="E169" s="196">
        <v>474009</v>
      </c>
      <c r="F169" s="196"/>
      <c r="G169" s="197" t="s">
        <v>1377</v>
      </c>
      <c r="I169" s="198">
        <v>2691</v>
      </c>
    </row>
    <row r="170" spans="1:14">
      <c r="A170" s="328">
        <v>44488</v>
      </c>
      <c r="B170" s="237">
        <v>44498</v>
      </c>
      <c r="C170" s="193" t="s">
        <v>1070</v>
      </c>
      <c r="D170" s="192">
        <v>24367</v>
      </c>
      <c r="E170" s="196">
        <v>267854.06</v>
      </c>
      <c r="F170" s="196">
        <f>SUM(E166:E170)</f>
        <v>1485939.0499999998</v>
      </c>
      <c r="G170" s="197" t="s">
        <v>1374</v>
      </c>
      <c r="I170" s="198">
        <v>12446.75</v>
      </c>
      <c r="N170" s="198">
        <v>13442.49</v>
      </c>
    </row>
    <row r="171" spans="1:14">
      <c r="A171" s="328">
        <v>44488</v>
      </c>
      <c r="B171" s="237">
        <v>44491</v>
      </c>
      <c r="C171" s="193" t="s">
        <v>1903</v>
      </c>
      <c r="D171" s="192">
        <v>24368</v>
      </c>
      <c r="E171" s="196">
        <v>744477.9</v>
      </c>
      <c r="F171" s="196"/>
      <c r="G171" s="197" t="s">
        <v>1902</v>
      </c>
      <c r="I171" s="198">
        <v>32941.5</v>
      </c>
    </row>
    <row r="172" spans="1:14">
      <c r="A172" s="328">
        <v>44488</v>
      </c>
      <c r="B172" s="237">
        <v>44494</v>
      </c>
      <c r="C172" s="193" t="s">
        <v>1890</v>
      </c>
      <c r="D172" s="192">
        <v>24369</v>
      </c>
      <c r="E172" s="196">
        <v>213570</v>
      </c>
      <c r="F172" s="196"/>
      <c r="G172" s="197" t="s">
        <v>1889</v>
      </c>
      <c r="I172" s="198">
        <v>9450</v>
      </c>
    </row>
    <row r="173" spans="1:14">
      <c r="A173" s="328">
        <v>44488</v>
      </c>
      <c r="B173" s="237">
        <v>44494</v>
      </c>
      <c r="C173" s="193" t="s">
        <v>1845</v>
      </c>
      <c r="D173" s="192">
        <v>24370</v>
      </c>
      <c r="E173" s="196">
        <v>125514.75</v>
      </c>
      <c r="F173" s="196"/>
      <c r="G173" s="197" t="s">
        <v>1889</v>
      </c>
      <c r="I173" s="198">
        <v>5553.75</v>
      </c>
    </row>
    <row r="174" spans="1:14">
      <c r="A174" s="328">
        <v>44488</v>
      </c>
      <c r="B174" s="237">
        <v>44491</v>
      </c>
      <c r="C174" s="193" t="s">
        <v>423</v>
      </c>
      <c r="D174" s="192">
        <v>24371</v>
      </c>
      <c r="E174" s="196">
        <v>196505.13999999998</v>
      </c>
      <c r="F174" s="196"/>
      <c r="G174" s="197" t="s">
        <v>1889</v>
      </c>
      <c r="H174" s="198">
        <f>205200.06-8694.92</f>
        <v>196505.13999999998</v>
      </c>
      <c r="I174" s="198">
        <v>8694.92</v>
      </c>
    </row>
    <row r="175" spans="1:14">
      <c r="A175" s="328">
        <v>44488</v>
      </c>
      <c r="B175" s="237">
        <v>44491</v>
      </c>
      <c r="C175" s="193" t="s">
        <v>423</v>
      </c>
      <c r="D175" s="192">
        <v>24371</v>
      </c>
      <c r="E175" s="196">
        <v>16375.73</v>
      </c>
      <c r="F175" s="196">
        <f>SUM(E172:E175)</f>
        <v>551965.62</v>
      </c>
      <c r="G175" s="197" t="s">
        <v>962</v>
      </c>
      <c r="H175" s="198">
        <f>-724.59+17100.32</f>
        <v>16375.73</v>
      </c>
      <c r="I175" s="198">
        <v>724.59</v>
      </c>
    </row>
    <row r="176" spans="1:14">
      <c r="A176" s="328">
        <v>44488</v>
      </c>
      <c r="B176" s="237">
        <v>44494</v>
      </c>
      <c r="C176" s="193" t="s">
        <v>1485</v>
      </c>
      <c r="D176" s="192">
        <v>24372</v>
      </c>
      <c r="E176" s="196">
        <v>27900</v>
      </c>
      <c r="F176" s="196"/>
      <c r="G176" s="197" t="s">
        <v>21</v>
      </c>
      <c r="K176" s="198">
        <v>3100</v>
      </c>
      <c r="M176" s="198">
        <v>5580</v>
      </c>
    </row>
    <row r="177" spans="1:14">
      <c r="A177" s="328">
        <v>44488</v>
      </c>
      <c r="B177" s="237">
        <v>44494</v>
      </c>
      <c r="C177" s="193" t="s">
        <v>1843</v>
      </c>
      <c r="D177" s="192">
        <v>24373</v>
      </c>
      <c r="E177" s="196">
        <v>187630</v>
      </c>
      <c r="F177" s="196"/>
      <c r="G177" s="197" t="s">
        <v>1387</v>
      </c>
    </row>
    <row r="178" spans="1:14">
      <c r="A178" s="328">
        <v>44488</v>
      </c>
      <c r="B178" s="237">
        <v>44491</v>
      </c>
      <c r="C178" s="193" t="s">
        <v>1856</v>
      </c>
      <c r="D178" s="192">
        <v>24374</v>
      </c>
      <c r="E178" s="196">
        <v>18830</v>
      </c>
      <c r="F178" s="196"/>
      <c r="G178" s="197" t="s">
        <v>705</v>
      </c>
      <c r="I178" s="110">
        <v>875</v>
      </c>
      <c r="J178" s="110"/>
      <c r="K178" s="110"/>
      <c r="L178" s="110"/>
      <c r="M178" s="110"/>
      <c r="N178" s="110">
        <v>945</v>
      </c>
    </row>
    <row r="179" spans="1:14">
      <c r="A179" s="328">
        <v>44488</v>
      </c>
      <c r="B179" s="237">
        <v>44491</v>
      </c>
      <c r="C179" s="193" t="s">
        <v>1812</v>
      </c>
      <c r="D179" s="192">
        <v>24375</v>
      </c>
      <c r="E179" s="196">
        <v>211427.54</v>
      </c>
      <c r="F179" s="196">
        <f>+E179</f>
        <v>211427.54</v>
      </c>
      <c r="G179" s="197" t="s">
        <v>1393</v>
      </c>
      <c r="I179" s="110">
        <v>9824.7000000000007</v>
      </c>
      <c r="J179" s="110"/>
      <c r="K179" s="110"/>
      <c r="L179" s="110"/>
      <c r="M179" s="110"/>
      <c r="N179" s="110">
        <v>10610.68</v>
      </c>
    </row>
    <row r="180" spans="1:14">
      <c r="A180" s="328">
        <v>44488</v>
      </c>
      <c r="B180" s="237">
        <v>44494</v>
      </c>
      <c r="C180" s="193" t="s">
        <v>1854</v>
      </c>
      <c r="D180" s="192">
        <v>24380</v>
      </c>
      <c r="E180" s="196">
        <v>22600</v>
      </c>
      <c r="F180" s="196"/>
      <c r="G180" s="191" t="s">
        <v>102</v>
      </c>
      <c r="H180" s="110"/>
      <c r="I180" s="110">
        <v>1000</v>
      </c>
      <c r="J180" s="110"/>
      <c r="K180" s="110"/>
      <c r="L180" s="110"/>
      <c r="M180" s="110"/>
      <c r="N180" s="110"/>
    </row>
    <row r="181" spans="1:14">
      <c r="A181" s="328">
        <v>44488</v>
      </c>
      <c r="B181" s="237">
        <v>44498</v>
      </c>
      <c r="C181" s="193" t="s">
        <v>1166</v>
      </c>
      <c r="D181" s="192">
        <v>24381</v>
      </c>
      <c r="E181" s="196">
        <v>56500</v>
      </c>
      <c r="F181" s="196"/>
      <c r="G181" s="191" t="s">
        <v>102</v>
      </c>
      <c r="H181" s="110"/>
      <c r="I181" s="110">
        <v>2500</v>
      </c>
      <c r="J181" s="110"/>
      <c r="K181" s="110"/>
      <c r="L181" s="110"/>
      <c r="M181" s="110"/>
      <c r="N181" s="110"/>
    </row>
    <row r="182" spans="1:14">
      <c r="A182" s="328">
        <v>44488</v>
      </c>
      <c r="B182" s="237">
        <v>44494</v>
      </c>
      <c r="C182" s="193" t="s">
        <v>2021</v>
      </c>
      <c r="D182" s="192">
        <v>24382</v>
      </c>
      <c r="E182" s="196">
        <v>31500</v>
      </c>
      <c r="F182" s="196"/>
      <c r="G182" s="191" t="s">
        <v>102</v>
      </c>
      <c r="H182" s="110"/>
      <c r="I182" s="110"/>
      <c r="J182" s="110"/>
      <c r="K182" s="110"/>
      <c r="L182" s="110">
        <v>3500</v>
      </c>
      <c r="M182" s="110">
        <v>6300</v>
      </c>
      <c r="N182" s="110"/>
    </row>
    <row r="183" spans="1:14">
      <c r="A183" s="328">
        <v>44488</v>
      </c>
      <c r="B183" s="237">
        <v>44494</v>
      </c>
      <c r="C183" s="193" t="s">
        <v>1151</v>
      </c>
      <c r="D183" s="192">
        <v>24385</v>
      </c>
      <c r="E183" s="196">
        <v>33900</v>
      </c>
      <c r="F183" s="196"/>
      <c r="G183" s="191" t="s">
        <v>102</v>
      </c>
      <c r="H183" s="110"/>
      <c r="I183" s="110">
        <v>1500</v>
      </c>
      <c r="J183" s="110"/>
      <c r="K183" s="110"/>
      <c r="L183" s="110"/>
      <c r="M183" s="110"/>
      <c r="N183" s="110"/>
    </row>
    <row r="184" spans="1:14">
      <c r="A184" s="328">
        <v>44488</v>
      </c>
      <c r="B184" s="237">
        <v>44498</v>
      </c>
      <c r="C184" s="193" t="s">
        <v>1736</v>
      </c>
      <c r="D184" s="192">
        <v>24386</v>
      </c>
      <c r="E184" s="196">
        <v>28250</v>
      </c>
      <c r="F184" s="196"/>
      <c r="G184" s="197" t="s">
        <v>102</v>
      </c>
      <c r="H184" s="110"/>
      <c r="I184" s="110">
        <v>1250</v>
      </c>
      <c r="J184" s="110"/>
      <c r="K184" s="110"/>
      <c r="L184" s="110"/>
      <c r="M184" s="110"/>
      <c r="N184" s="110"/>
    </row>
    <row r="185" spans="1:14">
      <c r="A185" s="328">
        <v>44488</v>
      </c>
      <c r="B185" s="237">
        <v>44496</v>
      </c>
      <c r="C185" s="193" t="s">
        <v>1455</v>
      </c>
      <c r="D185" s="192">
        <v>24387</v>
      </c>
      <c r="E185" s="196">
        <v>18000</v>
      </c>
      <c r="F185" s="196"/>
      <c r="G185" s="191" t="s">
        <v>102</v>
      </c>
      <c r="H185" s="110"/>
      <c r="I185" s="110"/>
      <c r="J185" s="110"/>
      <c r="K185" s="110"/>
      <c r="L185" s="110">
        <v>2000</v>
      </c>
      <c r="M185" s="110">
        <v>3600</v>
      </c>
      <c r="N185" s="110"/>
    </row>
    <row r="186" spans="1:14">
      <c r="A186" s="328">
        <v>44488</v>
      </c>
      <c r="B186" s="237">
        <v>44496</v>
      </c>
      <c r="C186" s="193" t="s">
        <v>1161</v>
      </c>
      <c r="D186" s="192">
        <v>24388</v>
      </c>
      <c r="E186" s="196">
        <v>27000</v>
      </c>
      <c r="F186" s="196"/>
      <c r="G186" s="191" t="s">
        <v>102</v>
      </c>
      <c r="H186" s="110"/>
      <c r="I186" s="110"/>
      <c r="J186" s="110"/>
      <c r="K186" s="110"/>
      <c r="L186" s="110">
        <v>3000</v>
      </c>
      <c r="M186" s="110">
        <v>5400</v>
      </c>
      <c r="N186" s="110"/>
    </row>
    <row r="187" spans="1:14">
      <c r="A187" s="328">
        <v>44488</v>
      </c>
      <c r="B187" s="237">
        <v>44494</v>
      </c>
      <c r="C187" s="193" t="s">
        <v>1145</v>
      </c>
      <c r="D187" s="192">
        <v>24389</v>
      </c>
      <c r="E187" s="196">
        <v>18000</v>
      </c>
      <c r="F187" s="196"/>
      <c r="G187" s="191" t="s">
        <v>102</v>
      </c>
      <c r="H187" s="110"/>
      <c r="I187" s="110"/>
      <c r="J187" s="110"/>
      <c r="K187" s="110"/>
      <c r="L187" s="110">
        <v>2000</v>
      </c>
      <c r="M187" s="110">
        <v>3600</v>
      </c>
      <c r="N187" s="110"/>
    </row>
    <row r="188" spans="1:14">
      <c r="A188" s="328">
        <v>44488</v>
      </c>
      <c r="B188" s="237">
        <v>44494</v>
      </c>
      <c r="C188" s="193" t="s">
        <v>1171</v>
      </c>
      <c r="D188" s="192">
        <v>24390</v>
      </c>
      <c r="E188" s="196">
        <v>33900</v>
      </c>
      <c r="F188" s="196"/>
      <c r="G188" s="191" t="s">
        <v>102</v>
      </c>
      <c r="H188" s="110"/>
      <c r="I188" s="110">
        <v>1500</v>
      </c>
      <c r="J188" s="110"/>
      <c r="K188" s="110"/>
      <c r="L188" s="110"/>
      <c r="M188" s="110"/>
      <c r="N188" s="110"/>
    </row>
    <row r="189" spans="1:14">
      <c r="A189" s="328">
        <v>44488</v>
      </c>
      <c r="B189" s="237">
        <v>44494</v>
      </c>
      <c r="C189" s="193" t="s">
        <v>1858</v>
      </c>
      <c r="D189" s="192">
        <v>24392</v>
      </c>
      <c r="E189" s="196">
        <v>18000</v>
      </c>
      <c r="F189" s="196"/>
      <c r="G189" s="191" t="s">
        <v>102</v>
      </c>
      <c r="H189" s="110"/>
      <c r="I189" s="110"/>
      <c r="J189" s="110"/>
      <c r="K189" s="110"/>
      <c r="L189" s="110">
        <v>2000</v>
      </c>
      <c r="M189" s="110">
        <v>3600</v>
      </c>
    </row>
    <row r="190" spans="1:14">
      <c r="A190" s="328">
        <v>44488</v>
      </c>
      <c r="B190" s="237">
        <v>44496</v>
      </c>
      <c r="C190" s="193" t="s">
        <v>2022</v>
      </c>
      <c r="D190" s="192">
        <v>24393</v>
      </c>
      <c r="E190" s="196">
        <v>27000</v>
      </c>
      <c r="F190" s="196"/>
      <c r="G190" s="191" t="s">
        <v>102</v>
      </c>
      <c r="H190" s="110"/>
      <c r="I190" s="110"/>
      <c r="J190" s="110"/>
      <c r="K190" s="110"/>
      <c r="L190" s="110">
        <v>3000</v>
      </c>
      <c r="M190" s="110">
        <v>5400</v>
      </c>
    </row>
    <row r="191" spans="1:14">
      <c r="A191" s="328">
        <v>44489</v>
      </c>
      <c r="B191" s="237">
        <v>44494</v>
      </c>
      <c r="C191" s="193" t="s">
        <v>1158</v>
      </c>
      <c r="D191" s="192">
        <v>24394</v>
      </c>
      <c r="E191" s="110">
        <v>12108.96</v>
      </c>
      <c r="F191" s="110">
        <f>+E191+E190</f>
        <v>39108.959999999999</v>
      </c>
      <c r="G191" s="117" t="s">
        <v>570</v>
      </c>
      <c r="H191" s="110">
        <v>12108.96</v>
      </c>
    </row>
    <row r="192" spans="1:14">
      <c r="A192" s="328">
        <v>44489</v>
      </c>
      <c r="B192" s="237">
        <v>44494</v>
      </c>
      <c r="C192" s="193" t="s">
        <v>1158</v>
      </c>
      <c r="D192" s="192">
        <v>24394</v>
      </c>
      <c r="E192" s="110">
        <v>8830.6899999999987</v>
      </c>
      <c r="F192" s="110"/>
      <c r="G192" s="117" t="s">
        <v>168</v>
      </c>
      <c r="H192" s="110">
        <v>8830.6899999999987</v>
      </c>
    </row>
    <row r="193" spans="1:14">
      <c r="A193" s="328">
        <v>44489</v>
      </c>
      <c r="B193" s="237">
        <v>44494</v>
      </c>
      <c r="C193" s="193" t="s">
        <v>1158</v>
      </c>
      <c r="D193" s="192">
        <v>24394</v>
      </c>
      <c r="E193" s="110">
        <v>7739.93</v>
      </c>
      <c r="F193" s="110"/>
      <c r="G193" s="117" t="s">
        <v>1893</v>
      </c>
      <c r="H193" s="110">
        <v>7739.93</v>
      </c>
    </row>
    <row r="194" spans="1:14">
      <c r="A194" s="328">
        <v>44489</v>
      </c>
      <c r="B194" s="237">
        <v>44494</v>
      </c>
      <c r="C194" s="193" t="s">
        <v>1158</v>
      </c>
      <c r="D194" s="192">
        <v>24394</v>
      </c>
      <c r="E194" s="110">
        <v>11160</v>
      </c>
      <c r="F194" s="110">
        <f>SUM(E192:E194)</f>
        <v>27730.62</v>
      </c>
      <c r="G194" s="117" t="s">
        <v>21</v>
      </c>
      <c r="H194" s="110">
        <v>11160</v>
      </c>
    </row>
    <row r="195" spans="1:14">
      <c r="A195" s="328">
        <v>44489</v>
      </c>
      <c r="B195" s="237">
        <v>44494</v>
      </c>
      <c r="C195" s="193" t="s">
        <v>1158</v>
      </c>
      <c r="D195" s="192">
        <v>24394</v>
      </c>
      <c r="E195" s="110">
        <v>80863.13</v>
      </c>
      <c r="F195" s="110">
        <f>SUM(E193:E195)</f>
        <v>99763.06</v>
      </c>
      <c r="G195" s="117" t="s">
        <v>1379</v>
      </c>
      <c r="H195" s="110">
        <v>80863.13</v>
      </c>
    </row>
    <row r="196" spans="1:14">
      <c r="A196" s="328">
        <v>44489</v>
      </c>
      <c r="B196" s="237">
        <v>44494</v>
      </c>
      <c r="C196" s="193" t="s">
        <v>1158</v>
      </c>
      <c r="D196" s="192">
        <v>24394</v>
      </c>
      <c r="E196" s="110">
        <v>33676.22</v>
      </c>
      <c r="F196" s="110"/>
      <c r="G196" s="117" t="s">
        <v>705</v>
      </c>
      <c r="H196" s="110">
        <v>33676.22</v>
      </c>
    </row>
    <row r="197" spans="1:14">
      <c r="A197" s="328">
        <v>44489</v>
      </c>
      <c r="B197" s="237">
        <v>44494</v>
      </c>
      <c r="C197" s="193" t="s">
        <v>1158</v>
      </c>
      <c r="D197" s="192">
        <v>24394</v>
      </c>
      <c r="E197" s="110">
        <v>84600</v>
      </c>
      <c r="F197" s="110"/>
      <c r="G197" s="117" t="s">
        <v>134</v>
      </c>
      <c r="H197" s="110">
        <v>84600</v>
      </c>
    </row>
    <row r="198" spans="1:14">
      <c r="A198" s="328">
        <v>44489</v>
      </c>
      <c r="B198" s="237">
        <v>44494</v>
      </c>
      <c r="C198" s="193" t="s">
        <v>1158</v>
      </c>
      <c r="D198" s="192">
        <v>24394</v>
      </c>
      <c r="E198" s="110">
        <v>5941.35</v>
      </c>
      <c r="F198" s="110">
        <f>SUM(E194:E198)</f>
        <v>216240.7</v>
      </c>
      <c r="G198" s="117" t="s">
        <v>1870</v>
      </c>
      <c r="H198" s="110">
        <v>5941.35</v>
      </c>
    </row>
    <row r="199" spans="1:14">
      <c r="A199" s="328">
        <v>44489</v>
      </c>
      <c r="B199" s="237">
        <v>44494</v>
      </c>
      <c r="C199" s="193" t="s">
        <v>1158</v>
      </c>
      <c r="D199" s="192">
        <v>24394</v>
      </c>
      <c r="E199" s="110">
        <v>310500</v>
      </c>
      <c r="F199" s="110"/>
      <c r="G199" s="117" t="s">
        <v>102</v>
      </c>
      <c r="H199" s="110">
        <v>310500</v>
      </c>
    </row>
    <row r="200" spans="1:14">
      <c r="A200" s="328">
        <v>44489</v>
      </c>
      <c r="B200" s="237">
        <v>44494</v>
      </c>
      <c r="C200" s="193" t="s">
        <v>1158</v>
      </c>
      <c r="D200" s="192">
        <v>24394</v>
      </c>
      <c r="E200" s="110">
        <v>1188</v>
      </c>
      <c r="F200" s="196">
        <f>+E200+E199</f>
        <v>311688</v>
      </c>
      <c r="G200" s="117" t="s">
        <v>1683</v>
      </c>
      <c r="H200" s="110">
        <v>1188</v>
      </c>
    </row>
    <row r="201" spans="1:14">
      <c r="A201" s="328">
        <v>44489</v>
      </c>
      <c r="B201" s="237">
        <v>44494</v>
      </c>
      <c r="C201" s="193" t="s">
        <v>1158</v>
      </c>
      <c r="D201" s="192">
        <v>24394</v>
      </c>
      <c r="E201" s="110">
        <v>8190</v>
      </c>
      <c r="F201" s="110">
        <f>+E201+E200</f>
        <v>9378</v>
      </c>
      <c r="G201" s="117" t="s">
        <v>1394</v>
      </c>
      <c r="H201" s="110">
        <v>8190</v>
      </c>
    </row>
    <row r="202" spans="1:14" ht="14.25" customHeight="1">
      <c r="A202" s="328">
        <v>44489</v>
      </c>
      <c r="B202" s="237">
        <v>44494</v>
      </c>
      <c r="C202" s="193" t="s">
        <v>2023</v>
      </c>
      <c r="D202" s="192">
        <v>24395</v>
      </c>
      <c r="E202" s="196">
        <v>169500</v>
      </c>
      <c r="F202" s="196"/>
      <c r="G202" s="191" t="s">
        <v>102</v>
      </c>
      <c r="H202" s="110"/>
      <c r="I202" s="110">
        <v>7500</v>
      </c>
      <c r="J202" s="110"/>
      <c r="K202" s="110"/>
      <c r="L202" s="110"/>
      <c r="M202" s="110"/>
      <c r="N202" s="110"/>
    </row>
    <row r="203" spans="1:14">
      <c r="A203" s="328">
        <v>44489</v>
      </c>
      <c r="B203" s="237">
        <v>44498</v>
      </c>
      <c r="C203" s="193" t="s">
        <v>1143</v>
      </c>
      <c r="D203" s="192">
        <v>24396</v>
      </c>
      <c r="E203" s="196">
        <v>36000</v>
      </c>
      <c r="F203" s="196"/>
      <c r="G203" s="191" t="s">
        <v>102</v>
      </c>
      <c r="H203" s="110"/>
      <c r="I203" s="110"/>
      <c r="J203" s="110"/>
      <c r="K203" s="110"/>
      <c r="L203" s="110">
        <v>4000</v>
      </c>
      <c r="M203" s="110">
        <v>7200</v>
      </c>
      <c r="N203" s="110"/>
    </row>
    <row r="204" spans="1:14">
      <c r="A204" s="328">
        <v>44489</v>
      </c>
      <c r="B204" s="237">
        <v>44494</v>
      </c>
      <c r="C204" s="193" t="s">
        <v>1148</v>
      </c>
      <c r="D204" s="192">
        <v>24397</v>
      </c>
      <c r="E204" s="196">
        <v>27000</v>
      </c>
      <c r="F204" s="196"/>
      <c r="G204" s="191" t="s">
        <v>102</v>
      </c>
      <c r="H204" s="110"/>
      <c r="I204" s="110"/>
      <c r="J204" s="110"/>
      <c r="K204" s="110"/>
      <c r="L204" s="110">
        <v>3000</v>
      </c>
      <c r="M204" s="110">
        <v>5400</v>
      </c>
      <c r="N204" s="110"/>
    </row>
    <row r="205" spans="1:14">
      <c r="A205" s="328">
        <v>44489</v>
      </c>
      <c r="B205" s="237">
        <v>44494</v>
      </c>
      <c r="C205" s="193" t="s">
        <v>1165</v>
      </c>
      <c r="D205" s="192">
        <v>24398</v>
      </c>
      <c r="E205" s="196">
        <v>33900</v>
      </c>
      <c r="F205" s="196"/>
      <c r="G205" s="191" t="s">
        <v>102</v>
      </c>
      <c r="H205" s="110"/>
      <c r="I205" s="110">
        <v>1500</v>
      </c>
      <c r="J205" s="110"/>
      <c r="K205" s="110"/>
      <c r="L205" s="110"/>
      <c r="M205" s="110"/>
      <c r="N205" s="110"/>
    </row>
    <row r="206" spans="1:14">
      <c r="A206" s="328">
        <v>44489</v>
      </c>
      <c r="B206" s="237">
        <v>44496</v>
      </c>
      <c r="C206" s="193" t="s">
        <v>1142</v>
      </c>
      <c r="D206" s="192">
        <v>24399</v>
      </c>
      <c r="E206" s="196">
        <v>13500</v>
      </c>
      <c r="F206" s="196"/>
      <c r="G206" s="191" t="s">
        <v>102</v>
      </c>
      <c r="H206" s="110"/>
      <c r="I206" s="110"/>
      <c r="J206" s="110"/>
      <c r="K206" s="110"/>
      <c r="L206" s="110">
        <v>1500</v>
      </c>
      <c r="M206" s="110">
        <v>2700</v>
      </c>
      <c r="N206" s="110"/>
    </row>
    <row r="207" spans="1:14">
      <c r="A207" s="328">
        <v>44489</v>
      </c>
      <c r="B207" s="237">
        <v>44494</v>
      </c>
      <c r="C207" s="193" t="s">
        <v>140</v>
      </c>
      <c r="D207" s="192">
        <v>24400</v>
      </c>
      <c r="E207" s="196">
        <v>255529.3</v>
      </c>
      <c r="F207" s="196"/>
      <c r="G207" s="197" t="s">
        <v>1898</v>
      </c>
      <c r="H207" s="110"/>
      <c r="I207" s="110">
        <v>13448.91</v>
      </c>
      <c r="J207" s="110"/>
      <c r="K207" s="110"/>
      <c r="L207" s="110"/>
      <c r="M207" s="110"/>
      <c r="N207" s="110"/>
    </row>
    <row r="208" spans="1:14">
      <c r="A208" s="328">
        <v>44489</v>
      </c>
      <c r="B208" s="237">
        <v>44494</v>
      </c>
      <c r="C208" s="193" t="s">
        <v>1313</v>
      </c>
      <c r="D208" s="192">
        <v>24401</v>
      </c>
      <c r="E208" s="196">
        <v>295283</v>
      </c>
      <c r="F208" s="196"/>
      <c r="G208" s="191" t="s">
        <v>1392</v>
      </c>
      <c r="H208" s="110"/>
      <c r="I208" s="110"/>
      <c r="J208" s="110"/>
      <c r="K208" s="110"/>
      <c r="L208" s="110"/>
      <c r="M208" s="110"/>
      <c r="N208" s="110"/>
    </row>
    <row r="209" spans="1:14">
      <c r="A209" s="328">
        <v>44489</v>
      </c>
      <c r="B209" s="237">
        <v>44490</v>
      </c>
      <c r="C209" s="193" t="s">
        <v>1389</v>
      </c>
      <c r="D209" s="192">
        <v>24402</v>
      </c>
      <c r="E209" s="196">
        <v>978990</v>
      </c>
      <c r="F209" s="196"/>
      <c r="G209" s="191" t="s">
        <v>1390</v>
      </c>
      <c r="H209" s="110"/>
      <c r="I209" s="110"/>
      <c r="J209" s="110"/>
      <c r="K209" s="110"/>
      <c r="L209" s="110"/>
      <c r="M209" s="110"/>
      <c r="N209" s="110"/>
    </row>
    <row r="210" spans="1:14">
      <c r="A210" s="328">
        <v>44489</v>
      </c>
      <c r="B210" s="237">
        <v>44491</v>
      </c>
      <c r="C210" s="193" t="s">
        <v>1907</v>
      </c>
      <c r="D210" s="192">
        <v>24403</v>
      </c>
      <c r="E210" s="196">
        <v>20000</v>
      </c>
      <c r="F210" s="196">
        <f>+E210</f>
        <v>20000</v>
      </c>
      <c r="G210" s="191" t="s">
        <v>1871</v>
      </c>
      <c r="H210" s="110"/>
      <c r="I210" s="110"/>
      <c r="J210" s="110"/>
      <c r="K210" s="110"/>
      <c r="L210" s="110"/>
      <c r="M210" s="110"/>
      <c r="N210" s="110"/>
    </row>
    <row r="211" spans="1:14">
      <c r="A211" s="328">
        <v>44489</v>
      </c>
      <c r="B211" s="237">
        <v>44491</v>
      </c>
      <c r="C211" s="193" t="s">
        <v>1334</v>
      </c>
      <c r="D211" s="192">
        <v>24404</v>
      </c>
      <c r="E211" s="196">
        <v>30056.38</v>
      </c>
      <c r="F211" s="196">
        <f>SUM(E208:E211)</f>
        <v>1324329.3799999999</v>
      </c>
      <c r="G211" s="191" t="s">
        <v>1380</v>
      </c>
      <c r="H211" s="110"/>
      <c r="I211" s="110">
        <v>1581.91</v>
      </c>
      <c r="J211" s="110"/>
      <c r="K211" s="110"/>
      <c r="L211" s="110"/>
      <c r="M211" s="110"/>
      <c r="N211" s="110"/>
    </row>
    <row r="212" spans="1:14">
      <c r="A212" s="328">
        <v>44489</v>
      </c>
      <c r="B212" s="237">
        <v>44494</v>
      </c>
      <c r="C212" s="193" t="s">
        <v>1122</v>
      </c>
      <c r="D212" s="192">
        <v>24405</v>
      </c>
      <c r="E212" s="196">
        <v>529150.77</v>
      </c>
      <c r="F212" s="196"/>
      <c r="G212" s="191" t="s">
        <v>1392</v>
      </c>
      <c r="H212" s="110"/>
      <c r="I212" s="110">
        <v>27850.04</v>
      </c>
      <c r="J212" s="110"/>
      <c r="K212" s="110"/>
      <c r="L212" s="110"/>
      <c r="M212" s="110"/>
      <c r="N212" s="110"/>
    </row>
    <row r="213" spans="1:14">
      <c r="A213" s="328">
        <v>44489</v>
      </c>
      <c r="B213" s="237">
        <v>44491</v>
      </c>
      <c r="C213" s="193" t="s">
        <v>1184</v>
      </c>
      <c r="D213" s="192">
        <v>24406</v>
      </c>
      <c r="E213" s="110">
        <v>154225.23000000001</v>
      </c>
      <c r="F213" s="110">
        <f>+E213+E212</f>
        <v>683376</v>
      </c>
      <c r="G213" s="191" t="s">
        <v>1894</v>
      </c>
      <c r="H213" s="110">
        <v>154225.23000000001</v>
      </c>
      <c r="I213" s="110">
        <v>7166.6</v>
      </c>
      <c r="J213" s="110"/>
      <c r="K213" s="110"/>
      <c r="L213" s="110"/>
      <c r="M213" s="110"/>
      <c r="N213" s="110">
        <v>7739.93</v>
      </c>
    </row>
    <row r="214" spans="1:14">
      <c r="A214" s="328">
        <v>44489</v>
      </c>
      <c r="B214" s="237">
        <v>44491</v>
      </c>
      <c r="C214" s="193" t="s">
        <v>1184</v>
      </c>
      <c r="D214" s="192">
        <v>24406</v>
      </c>
      <c r="E214" s="110">
        <v>829661.6</v>
      </c>
      <c r="F214" s="110"/>
      <c r="G214" s="191" t="s">
        <v>1868</v>
      </c>
      <c r="H214" s="110">
        <v>829661.6</v>
      </c>
      <c r="I214" s="110">
        <v>43666.400000000001</v>
      </c>
      <c r="J214" s="110"/>
      <c r="K214" s="110"/>
      <c r="L214" s="110"/>
      <c r="M214" s="110"/>
      <c r="N214" s="110"/>
    </row>
    <row r="215" spans="1:14">
      <c r="A215" s="328">
        <v>44489</v>
      </c>
      <c r="B215" s="237">
        <v>44480</v>
      </c>
      <c r="C215" s="193" t="s">
        <v>1189</v>
      </c>
      <c r="D215" s="192">
        <v>24407</v>
      </c>
      <c r="E215" s="196">
        <v>2363790</v>
      </c>
      <c r="F215" s="196"/>
      <c r="G215" s="191" t="s">
        <v>1868</v>
      </c>
      <c r="H215" s="110"/>
      <c r="I215" s="110">
        <v>124410</v>
      </c>
      <c r="J215" s="110"/>
      <c r="K215" s="110"/>
      <c r="L215" s="110"/>
      <c r="M215" s="110"/>
      <c r="N215" s="110"/>
    </row>
    <row r="216" spans="1:14">
      <c r="A216" s="328">
        <v>44489</v>
      </c>
      <c r="B216" s="237">
        <v>44490</v>
      </c>
      <c r="C216" s="193" t="s">
        <v>1389</v>
      </c>
      <c r="D216" s="192">
        <v>24408</v>
      </c>
      <c r="E216" s="196">
        <v>627515</v>
      </c>
      <c r="F216" s="196"/>
      <c r="G216" s="191" t="s">
        <v>1390</v>
      </c>
      <c r="H216" s="110"/>
      <c r="I216" s="110"/>
      <c r="J216" s="110"/>
      <c r="K216" s="110"/>
      <c r="L216" s="110"/>
      <c r="M216" s="110"/>
      <c r="N216" s="110"/>
    </row>
    <row r="217" spans="1:14">
      <c r="A217" s="328">
        <v>44489</v>
      </c>
      <c r="B217" s="237">
        <v>44491</v>
      </c>
      <c r="C217" s="193" t="s">
        <v>1204</v>
      </c>
      <c r="D217" s="192">
        <v>24410</v>
      </c>
      <c r="E217" s="196">
        <v>10456300.4</v>
      </c>
      <c r="F217" s="196"/>
      <c r="G217" s="191" t="s">
        <v>1868</v>
      </c>
      <c r="H217" s="110"/>
      <c r="I217" s="110">
        <v>550331.6</v>
      </c>
      <c r="J217" s="110"/>
      <c r="K217" s="110"/>
      <c r="L217" s="110"/>
      <c r="M217" s="110"/>
      <c r="N217" s="110"/>
    </row>
    <row r="218" spans="1:14">
      <c r="A218" s="328">
        <v>44489</v>
      </c>
      <c r="B218" s="237">
        <v>44494</v>
      </c>
      <c r="C218" s="193" t="s">
        <v>1066</v>
      </c>
      <c r="D218" s="192">
        <v>24411</v>
      </c>
      <c r="E218" s="196">
        <v>202847.52</v>
      </c>
      <c r="F218" s="196"/>
      <c r="G218" s="191" t="s">
        <v>705</v>
      </c>
      <c r="H218" s="110"/>
      <c r="I218" s="110">
        <v>9426</v>
      </c>
      <c r="J218" s="110"/>
      <c r="K218" s="110"/>
      <c r="L218" s="110"/>
      <c r="M218" s="110"/>
      <c r="N218" s="110">
        <v>10180.08</v>
      </c>
    </row>
    <row r="219" spans="1:14">
      <c r="A219" s="328">
        <v>44489</v>
      </c>
      <c r="B219" s="237">
        <v>44496</v>
      </c>
      <c r="C219" s="193" t="s">
        <v>1164</v>
      </c>
      <c r="D219" s="192">
        <v>24413</v>
      </c>
      <c r="E219" s="196">
        <v>67800</v>
      </c>
      <c r="F219" s="196"/>
      <c r="G219" s="191" t="s">
        <v>102</v>
      </c>
      <c r="H219" s="110"/>
      <c r="I219" s="110">
        <v>3000</v>
      </c>
      <c r="J219" s="110"/>
      <c r="K219" s="110"/>
      <c r="L219" s="110"/>
      <c r="M219" s="110"/>
      <c r="N219" s="110"/>
    </row>
    <row r="220" spans="1:14">
      <c r="A220" s="328">
        <v>44489</v>
      </c>
      <c r="B220" s="237">
        <v>44494</v>
      </c>
      <c r="C220" s="193" t="s">
        <v>1149</v>
      </c>
      <c r="D220" s="192">
        <v>24415</v>
      </c>
      <c r="E220" s="196">
        <v>27000</v>
      </c>
      <c r="F220" s="196"/>
      <c r="G220" s="191" t="s">
        <v>102</v>
      </c>
      <c r="H220" s="110"/>
      <c r="I220" s="110"/>
      <c r="J220" s="110"/>
      <c r="K220" s="110"/>
      <c r="L220" s="110">
        <v>3000</v>
      </c>
      <c r="M220" s="110">
        <v>5400</v>
      </c>
      <c r="N220" s="110"/>
    </row>
    <row r="221" spans="1:14">
      <c r="A221" s="328">
        <v>44489</v>
      </c>
      <c r="B221" s="237">
        <v>44494</v>
      </c>
      <c r="C221" s="193" t="s">
        <v>2006</v>
      </c>
      <c r="D221" s="192">
        <v>24416</v>
      </c>
      <c r="E221" s="196">
        <v>249609.14</v>
      </c>
      <c r="F221" s="196"/>
      <c r="G221" s="191" t="s">
        <v>1388</v>
      </c>
      <c r="H221" s="110"/>
      <c r="I221" s="110"/>
      <c r="J221" s="110"/>
      <c r="K221" s="110"/>
      <c r="L221" s="110"/>
      <c r="M221" s="110"/>
      <c r="N221" s="110"/>
    </row>
    <row r="222" spans="1:14">
      <c r="A222" s="328">
        <v>44489</v>
      </c>
      <c r="B222" s="237">
        <v>44494</v>
      </c>
      <c r="C222" s="193" t="s">
        <v>1142</v>
      </c>
      <c r="D222" s="192">
        <v>24417</v>
      </c>
      <c r="E222" s="196">
        <v>13500</v>
      </c>
      <c r="F222" s="196"/>
      <c r="G222" s="191" t="s">
        <v>102</v>
      </c>
      <c r="H222" s="110"/>
      <c r="I222" s="110"/>
      <c r="J222" s="110"/>
      <c r="K222" s="110"/>
      <c r="L222" s="110">
        <v>1500</v>
      </c>
      <c r="M222" s="110">
        <v>2700</v>
      </c>
      <c r="N222" s="110"/>
    </row>
    <row r="223" spans="1:14">
      <c r="A223" s="328">
        <v>44489</v>
      </c>
      <c r="B223" s="237">
        <v>44496</v>
      </c>
      <c r="C223" s="193" t="s">
        <v>2024</v>
      </c>
      <c r="D223" s="192">
        <v>24418</v>
      </c>
      <c r="E223" s="196">
        <v>406800</v>
      </c>
      <c r="F223" s="196"/>
      <c r="G223" s="191" t="s">
        <v>102</v>
      </c>
      <c r="H223" s="110"/>
      <c r="I223" s="110">
        <v>18000</v>
      </c>
      <c r="J223" s="110"/>
      <c r="K223" s="110"/>
      <c r="L223" s="110"/>
      <c r="M223" s="110"/>
      <c r="N223" s="110"/>
    </row>
    <row r="224" spans="1:14">
      <c r="A224" s="328">
        <v>44489</v>
      </c>
      <c r="B224" s="237">
        <v>44496</v>
      </c>
      <c r="C224" s="193" t="s">
        <v>2024</v>
      </c>
      <c r="D224" s="192">
        <v>24419</v>
      </c>
      <c r="E224" s="196">
        <v>305100</v>
      </c>
      <c r="F224" s="196"/>
      <c r="G224" s="191" t="s">
        <v>102</v>
      </c>
      <c r="H224" s="110"/>
      <c r="I224" s="110">
        <v>13500</v>
      </c>
      <c r="J224" s="110"/>
      <c r="K224" s="110"/>
      <c r="L224" s="110"/>
      <c r="M224" s="110"/>
      <c r="N224" s="110"/>
    </row>
    <row r="225" spans="1:14">
      <c r="A225" s="328">
        <v>44489</v>
      </c>
      <c r="B225" s="237">
        <v>44496</v>
      </c>
      <c r="C225" s="193" t="s">
        <v>1896</v>
      </c>
      <c r="D225" s="192">
        <v>24420</v>
      </c>
      <c r="E225" s="196">
        <v>150000</v>
      </c>
      <c r="F225" s="329">
        <f>+E225</f>
        <v>150000</v>
      </c>
      <c r="G225" s="197" t="s">
        <v>1897</v>
      </c>
    </row>
    <row r="226" spans="1:14">
      <c r="A226" s="328">
        <v>44489</v>
      </c>
      <c r="B226" s="237">
        <v>44496</v>
      </c>
      <c r="C226" s="193" t="s">
        <v>1891</v>
      </c>
      <c r="D226" s="192">
        <v>24422</v>
      </c>
      <c r="E226" s="196">
        <v>1318374.82</v>
      </c>
      <c r="F226" s="196">
        <f>SUM(E221:E226)</f>
        <v>2443383.96</v>
      </c>
      <c r="G226" s="191" t="s">
        <v>1372</v>
      </c>
      <c r="H226" s="110"/>
      <c r="I226" s="110">
        <v>58335.17</v>
      </c>
      <c r="J226" s="110"/>
      <c r="K226" s="110"/>
      <c r="L226" s="110"/>
      <c r="M226" s="110"/>
      <c r="N226" s="110"/>
    </row>
    <row r="227" spans="1:14">
      <c r="A227" s="328">
        <v>44489</v>
      </c>
      <c r="B227" s="237">
        <v>44491</v>
      </c>
      <c r="C227" s="193" t="s">
        <v>1103</v>
      </c>
      <c r="D227" s="192">
        <v>24423</v>
      </c>
      <c r="E227" s="196">
        <v>1596000</v>
      </c>
      <c r="F227" s="196"/>
      <c r="G227" s="191" t="s">
        <v>1868</v>
      </c>
      <c r="H227" s="110"/>
      <c r="I227" s="110">
        <v>84000</v>
      </c>
      <c r="J227" s="110"/>
      <c r="K227" s="110"/>
      <c r="L227" s="110"/>
      <c r="M227" s="110"/>
      <c r="N227" s="110"/>
    </row>
    <row r="228" spans="1:14">
      <c r="A228" s="328">
        <v>44489</v>
      </c>
      <c r="B228" s="237">
        <v>44494</v>
      </c>
      <c r="C228" s="193" t="s">
        <v>1842</v>
      </c>
      <c r="D228" s="192">
        <v>24424</v>
      </c>
      <c r="E228" s="196">
        <v>1265042.8700000001</v>
      </c>
      <c r="F228" s="196"/>
      <c r="G228" s="191" t="s">
        <v>1392</v>
      </c>
      <c r="H228" s="110"/>
      <c r="I228" s="110"/>
      <c r="J228" s="110"/>
      <c r="K228" s="110"/>
      <c r="L228" s="110"/>
      <c r="M228" s="110"/>
      <c r="N228" s="110"/>
    </row>
    <row r="229" spans="1:14">
      <c r="A229" s="328">
        <v>44489</v>
      </c>
      <c r="B229" s="237">
        <v>44494</v>
      </c>
      <c r="C229" s="193" t="s">
        <v>1842</v>
      </c>
      <c r="D229" s="192">
        <v>24425</v>
      </c>
      <c r="E229" s="196">
        <v>221416</v>
      </c>
      <c r="F229" s="196">
        <f>SUM(E226:E229)</f>
        <v>4400833.6900000004</v>
      </c>
      <c r="G229" s="191" t="s">
        <v>1392</v>
      </c>
      <c r="H229" s="110"/>
      <c r="I229" s="110"/>
      <c r="J229" s="110"/>
      <c r="K229" s="110"/>
      <c r="L229" s="110"/>
      <c r="M229" s="110"/>
      <c r="N229" s="110"/>
    </row>
    <row r="230" spans="1:14">
      <c r="A230" s="328">
        <v>44490</v>
      </c>
      <c r="B230" s="237">
        <v>44494</v>
      </c>
      <c r="C230" s="193" t="s">
        <v>2007</v>
      </c>
      <c r="D230" s="192">
        <v>24427</v>
      </c>
      <c r="E230" s="196">
        <v>106792.03</v>
      </c>
      <c r="F230" s="196"/>
      <c r="G230" s="191" t="s">
        <v>1388</v>
      </c>
    </row>
    <row r="231" spans="1:14">
      <c r="A231" s="328">
        <v>44490</v>
      </c>
      <c r="B231" s="237">
        <v>44496</v>
      </c>
      <c r="C231" s="193" t="s">
        <v>2008</v>
      </c>
      <c r="D231" s="192">
        <v>24428</v>
      </c>
      <c r="E231" s="196">
        <v>112139.77</v>
      </c>
      <c r="F231" s="196"/>
      <c r="G231" s="191" t="s">
        <v>1388</v>
      </c>
    </row>
    <row r="232" spans="1:14">
      <c r="A232" s="328">
        <v>44490</v>
      </c>
      <c r="B232" s="237">
        <v>44496</v>
      </c>
      <c r="C232" s="193" t="s">
        <v>2009</v>
      </c>
      <c r="D232" s="192">
        <v>24429</v>
      </c>
      <c r="E232" s="196">
        <v>140097.59</v>
      </c>
      <c r="F232" s="196"/>
      <c r="G232" s="191" t="s">
        <v>1388</v>
      </c>
    </row>
    <row r="233" spans="1:14">
      <c r="A233" s="328">
        <v>44490</v>
      </c>
      <c r="B233" s="237">
        <v>44496</v>
      </c>
      <c r="C233" s="193" t="s">
        <v>2010</v>
      </c>
      <c r="D233" s="192">
        <v>24430</v>
      </c>
      <c r="E233" s="196">
        <v>241773.6</v>
      </c>
      <c r="F233" s="196"/>
      <c r="G233" s="191" t="s">
        <v>1388</v>
      </c>
    </row>
    <row r="234" spans="1:14">
      <c r="A234" s="328">
        <v>44490</v>
      </c>
      <c r="B234" s="237">
        <v>44496</v>
      </c>
      <c r="C234" s="193" t="s">
        <v>2011</v>
      </c>
      <c r="D234" s="192">
        <v>24431</v>
      </c>
      <c r="E234" s="196">
        <v>71151.360000000001</v>
      </c>
      <c r="F234" s="196"/>
      <c r="G234" s="191" t="s">
        <v>1388</v>
      </c>
    </row>
    <row r="235" spans="1:14">
      <c r="A235" s="328">
        <v>44490</v>
      </c>
      <c r="B235" s="237">
        <v>44494</v>
      </c>
      <c r="C235" s="193" t="s">
        <v>2025</v>
      </c>
      <c r="D235" s="192">
        <v>24433</v>
      </c>
      <c r="E235" s="196">
        <v>113000</v>
      </c>
      <c r="F235" s="196"/>
      <c r="G235" s="191" t="s">
        <v>102</v>
      </c>
      <c r="H235" s="110"/>
      <c r="I235" s="110">
        <v>5000</v>
      </c>
      <c r="J235" s="110"/>
      <c r="K235" s="110"/>
      <c r="L235" s="110"/>
      <c r="M235" s="110"/>
    </row>
    <row r="236" spans="1:14">
      <c r="A236" s="328">
        <v>44490</v>
      </c>
      <c r="B236" s="237">
        <v>44496</v>
      </c>
      <c r="C236" s="193" t="s">
        <v>2012</v>
      </c>
      <c r="D236" s="192">
        <v>24434</v>
      </c>
      <c r="E236" s="196">
        <v>72578.06</v>
      </c>
      <c r="F236" s="196"/>
      <c r="G236" s="191" t="s">
        <v>1388</v>
      </c>
      <c r="H236" s="110"/>
      <c r="I236" s="110"/>
      <c r="J236" s="110"/>
      <c r="K236" s="110"/>
      <c r="L236" s="110"/>
      <c r="M236" s="110"/>
    </row>
    <row r="237" spans="1:14">
      <c r="A237" s="328">
        <v>44490</v>
      </c>
      <c r="B237" s="237">
        <v>44496</v>
      </c>
      <c r="C237" s="193" t="s">
        <v>1144</v>
      </c>
      <c r="D237" s="192">
        <v>24435</v>
      </c>
      <c r="E237" s="196">
        <v>36000</v>
      </c>
      <c r="F237" s="196"/>
      <c r="G237" s="191" t="s">
        <v>102</v>
      </c>
      <c r="H237" s="110"/>
      <c r="I237" s="110"/>
      <c r="J237" s="110"/>
      <c r="K237" s="110"/>
      <c r="L237" s="110">
        <v>4000</v>
      </c>
      <c r="M237" s="110">
        <v>7200</v>
      </c>
    </row>
    <row r="238" spans="1:14">
      <c r="A238" s="328">
        <v>44490</v>
      </c>
      <c r="B238" s="237">
        <v>44496</v>
      </c>
      <c r="C238" s="193" t="s">
        <v>2013</v>
      </c>
      <c r="D238" s="192">
        <v>24436</v>
      </c>
      <c r="E238" s="196">
        <v>41673.56</v>
      </c>
      <c r="F238" s="196"/>
      <c r="G238" s="191" t="s">
        <v>1388</v>
      </c>
      <c r="H238" s="110"/>
      <c r="I238" s="110"/>
      <c r="J238" s="110"/>
      <c r="K238" s="110"/>
      <c r="L238" s="110"/>
      <c r="M238" s="110"/>
    </row>
    <row r="239" spans="1:14">
      <c r="A239" s="328">
        <v>44491</v>
      </c>
      <c r="B239" s="237">
        <v>44494</v>
      </c>
      <c r="C239" s="193" t="s">
        <v>1257</v>
      </c>
      <c r="D239" s="192">
        <v>24437</v>
      </c>
      <c r="E239" s="110">
        <f>1933768.92-193376.89</f>
        <v>1740392.0299999998</v>
      </c>
      <c r="F239" s="110"/>
      <c r="G239" s="331" t="s">
        <v>134</v>
      </c>
      <c r="H239" s="110">
        <f>1933768.92-193376.89</f>
        <v>1740392.0299999998</v>
      </c>
      <c r="I239" s="110"/>
      <c r="J239" s="110">
        <v>193376.89</v>
      </c>
    </row>
    <row r="240" spans="1:14">
      <c r="A240" s="328">
        <v>44491</v>
      </c>
      <c r="B240" s="237">
        <v>44494</v>
      </c>
      <c r="C240" s="193" t="s">
        <v>1257</v>
      </c>
      <c r="D240" s="192">
        <v>24437</v>
      </c>
      <c r="E240" s="332">
        <v>5566231.0800000001</v>
      </c>
      <c r="F240" s="332"/>
      <c r="G240" s="197" t="s">
        <v>1388</v>
      </c>
      <c r="H240" s="332">
        <v>5566231.0800000001</v>
      </c>
      <c r="I240" s="110"/>
      <c r="J240" s="110"/>
    </row>
    <row r="241" spans="1:14">
      <c r="A241" s="328">
        <v>44491</v>
      </c>
      <c r="B241" s="237">
        <v>44480</v>
      </c>
      <c r="C241" s="193" t="s">
        <v>1346</v>
      </c>
      <c r="D241" s="192">
        <v>24438</v>
      </c>
      <c r="E241" s="196">
        <v>2600169</v>
      </c>
      <c r="F241" s="196"/>
      <c r="G241" s="191" t="s">
        <v>1868</v>
      </c>
      <c r="H241" s="110"/>
      <c r="I241" s="110">
        <v>136851</v>
      </c>
      <c r="J241" s="110"/>
      <c r="K241" s="110"/>
      <c r="L241" s="110"/>
      <c r="M241" s="110"/>
      <c r="N241" s="110"/>
    </row>
    <row r="242" spans="1:14">
      <c r="A242" s="328">
        <v>44491</v>
      </c>
      <c r="B242" s="237">
        <v>44498</v>
      </c>
      <c r="C242" s="193" t="s">
        <v>1901</v>
      </c>
      <c r="D242" s="192">
        <v>24439</v>
      </c>
      <c r="E242" s="196">
        <v>1014912.55</v>
      </c>
      <c r="F242" s="196"/>
      <c r="G242" s="191" t="s">
        <v>1868</v>
      </c>
      <c r="H242" s="110"/>
      <c r="I242" s="110">
        <v>53416.45</v>
      </c>
      <c r="J242" s="110"/>
      <c r="K242" s="110"/>
      <c r="L242" s="110"/>
      <c r="M242" s="110"/>
      <c r="N242" s="110"/>
    </row>
    <row r="243" spans="1:14">
      <c r="A243" s="328">
        <v>44491</v>
      </c>
      <c r="B243" s="330">
        <v>44498</v>
      </c>
      <c r="C243" s="193" t="s">
        <v>1901</v>
      </c>
      <c r="D243" s="192">
        <v>24440</v>
      </c>
      <c r="E243" s="196">
        <v>1014912.55</v>
      </c>
      <c r="F243" s="196">
        <f>SUM(E234:E243)</f>
        <v>12271020.190000001</v>
      </c>
      <c r="G243" s="191" t="s">
        <v>1868</v>
      </c>
      <c r="H243" s="110"/>
      <c r="I243" s="110">
        <v>53416.45</v>
      </c>
      <c r="J243" s="110"/>
      <c r="K243" s="110"/>
      <c r="L243" s="110"/>
      <c r="M243" s="110"/>
      <c r="N243" s="110"/>
    </row>
    <row r="244" spans="1:14">
      <c r="A244" s="328">
        <v>44491</v>
      </c>
      <c r="B244" s="237">
        <v>44498</v>
      </c>
      <c r="C244" s="193" t="s">
        <v>1131</v>
      </c>
      <c r="D244" s="192">
        <v>24441</v>
      </c>
      <c r="E244" s="196">
        <v>564009</v>
      </c>
      <c r="F244" s="196"/>
      <c r="G244" s="191" t="s">
        <v>1377</v>
      </c>
      <c r="H244" s="110"/>
      <c r="I244" s="110">
        <v>2691</v>
      </c>
      <c r="J244" s="110"/>
      <c r="K244" s="110"/>
      <c r="L244" s="110"/>
      <c r="M244" s="110"/>
      <c r="N244" s="110"/>
    </row>
    <row r="245" spans="1:14">
      <c r="A245" s="328">
        <v>44491</v>
      </c>
      <c r="B245" s="237">
        <v>44496</v>
      </c>
      <c r="C245" s="193" t="s">
        <v>1096</v>
      </c>
      <c r="D245" s="192">
        <v>24442</v>
      </c>
      <c r="E245" s="196">
        <v>564009</v>
      </c>
      <c r="F245" s="196">
        <f>SUM(E242:E245)</f>
        <v>3157843.1</v>
      </c>
      <c r="G245" s="191" t="s">
        <v>1377</v>
      </c>
      <c r="H245" s="110"/>
      <c r="I245" s="110">
        <v>2691</v>
      </c>
      <c r="J245" s="110"/>
      <c r="K245" s="110"/>
      <c r="L245" s="110"/>
      <c r="M245" s="110"/>
      <c r="N245" s="110"/>
    </row>
    <row r="246" spans="1:14">
      <c r="A246" s="328">
        <v>44491</v>
      </c>
      <c r="B246" s="237">
        <v>44496</v>
      </c>
      <c r="C246" s="193" t="s">
        <v>1905</v>
      </c>
      <c r="D246" s="192">
        <v>24443</v>
      </c>
      <c r="E246" s="196">
        <v>745698</v>
      </c>
      <c r="F246" s="196"/>
      <c r="G246" s="191" t="s">
        <v>1387</v>
      </c>
      <c r="H246" s="110"/>
      <c r="I246" s="110">
        <v>33590</v>
      </c>
      <c r="J246" s="110"/>
      <c r="K246" s="110"/>
      <c r="L246" s="110"/>
      <c r="M246" s="110"/>
      <c r="N246" s="110"/>
    </row>
    <row r="247" spans="1:14">
      <c r="A247" s="328">
        <v>44491</v>
      </c>
      <c r="B247" s="237">
        <v>44498</v>
      </c>
      <c r="C247" s="193" t="s">
        <v>1327</v>
      </c>
      <c r="D247" s="192">
        <v>24445</v>
      </c>
      <c r="E247" s="196">
        <v>77068.5</v>
      </c>
      <c r="F247" s="196">
        <f>SUM(E242:E247)</f>
        <v>3980609.6</v>
      </c>
      <c r="G247" s="191" t="s">
        <v>705</v>
      </c>
      <c r="H247" s="110"/>
      <c r="I247" s="110">
        <v>3581.25</v>
      </c>
      <c r="J247" s="110"/>
      <c r="K247" s="110"/>
      <c r="L247" s="110"/>
      <c r="M247" s="110"/>
      <c r="N247" s="110">
        <v>3867.75</v>
      </c>
    </row>
    <row r="248" spans="1:14">
      <c r="A248" s="328">
        <v>44491</v>
      </c>
      <c r="B248" s="237">
        <v>44494</v>
      </c>
      <c r="C248" s="193" t="s">
        <v>1851</v>
      </c>
      <c r="D248" s="192">
        <v>24446</v>
      </c>
      <c r="E248" s="196">
        <v>18000</v>
      </c>
      <c r="F248" s="196"/>
      <c r="G248" s="191" t="s">
        <v>102</v>
      </c>
      <c r="H248" s="110"/>
      <c r="I248" s="110"/>
      <c r="J248" s="110"/>
      <c r="K248" s="110"/>
      <c r="L248" s="110">
        <v>2000</v>
      </c>
      <c r="M248" s="110">
        <v>3600</v>
      </c>
      <c r="N248" s="110"/>
    </row>
    <row r="249" spans="1:14">
      <c r="A249" s="328">
        <v>44491</v>
      </c>
      <c r="B249" s="237">
        <v>44494</v>
      </c>
      <c r="C249" s="193" t="s">
        <v>1191</v>
      </c>
      <c r="D249" s="192">
        <v>24447</v>
      </c>
      <c r="E249" s="196">
        <v>36000</v>
      </c>
      <c r="F249" s="196"/>
      <c r="G249" s="191" t="s">
        <v>102</v>
      </c>
      <c r="H249" s="110"/>
      <c r="I249" s="110"/>
      <c r="J249" s="110"/>
      <c r="K249" s="110"/>
      <c r="L249" s="110">
        <v>4000</v>
      </c>
      <c r="M249" s="110">
        <v>7200</v>
      </c>
      <c r="N249" s="110"/>
    </row>
    <row r="250" spans="1:14">
      <c r="A250" s="328">
        <v>44491</v>
      </c>
      <c r="B250" s="237">
        <v>44494</v>
      </c>
      <c r="C250" s="193" t="s">
        <v>1166</v>
      </c>
      <c r="D250" s="192">
        <v>24448</v>
      </c>
      <c r="E250" s="196">
        <v>56500</v>
      </c>
      <c r="F250" s="196"/>
      <c r="G250" s="191" t="s">
        <v>102</v>
      </c>
      <c r="H250" s="110"/>
      <c r="I250" s="110">
        <v>2500</v>
      </c>
      <c r="J250" s="110"/>
      <c r="K250" s="110"/>
      <c r="L250" s="110"/>
      <c r="M250" s="110"/>
      <c r="N250" s="110"/>
    </row>
    <row r="251" spans="1:14">
      <c r="A251" s="328">
        <v>44491</v>
      </c>
      <c r="B251" s="237">
        <v>44494</v>
      </c>
      <c r="C251" s="193" t="s">
        <v>1324</v>
      </c>
      <c r="D251" s="192">
        <v>24449</v>
      </c>
      <c r="E251" s="196">
        <v>28250</v>
      </c>
      <c r="F251" s="196">
        <f>SUM(E217:E251)</f>
        <v>31241148.43</v>
      </c>
      <c r="G251" s="191" t="s">
        <v>102</v>
      </c>
      <c r="H251" s="110"/>
      <c r="I251" s="110">
        <v>1250</v>
      </c>
      <c r="J251" s="110"/>
      <c r="K251" s="110"/>
      <c r="L251" s="110"/>
      <c r="M251" s="110"/>
      <c r="N251" s="110"/>
    </row>
    <row r="252" spans="1:14">
      <c r="A252" s="328">
        <v>44491</v>
      </c>
      <c r="B252" s="237">
        <v>44498</v>
      </c>
      <c r="C252" s="193" t="s">
        <v>708</v>
      </c>
      <c r="D252" s="192">
        <v>24450</v>
      </c>
      <c r="E252" s="196">
        <v>210000</v>
      </c>
      <c r="F252" s="196">
        <f>+E252</f>
        <v>210000</v>
      </c>
      <c r="G252" s="191" t="s">
        <v>1373</v>
      </c>
      <c r="H252" s="110"/>
      <c r="I252" s="110"/>
      <c r="J252" s="110"/>
      <c r="K252" s="110"/>
      <c r="L252" s="110"/>
      <c r="M252" s="110"/>
      <c r="N252" s="110"/>
    </row>
    <row r="253" spans="1:14">
      <c r="A253" s="328">
        <v>44494</v>
      </c>
      <c r="B253" s="237">
        <v>44496</v>
      </c>
      <c r="C253" s="193" t="s">
        <v>2014</v>
      </c>
      <c r="D253" s="192">
        <v>24451</v>
      </c>
      <c r="E253" s="196">
        <v>105958.7</v>
      </c>
      <c r="F253" s="196"/>
      <c r="G253" s="191" t="s">
        <v>1388</v>
      </c>
      <c r="H253" s="110"/>
      <c r="I253" s="110"/>
      <c r="J253" s="110"/>
      <c r="K253" s="110"/>
      <c r="L253" s="110"/>
      <c r="M253" s="110"/>
      <c r="N253" s="110"/>
    </row>
    <row r="254" spans="1:14">
      <c r="A254" s="328">
        <v>44494</v>
      </c>
      <c r="B254" s="237">
        <v>44496</v>
      </c>
      <c r="C254" s="193" t="s">
        <v>2015</v>
      </c>
      <c r="D254" s="192">
        <v>24452</v>
      </c>
      <c r="E254" s="196">
        <v>82913.710000000006</v>
      </c>
      <c r="F254" s="196"/>
      <c r="G254" s="191" t="s">
        <v>1388</v>
      </c>
      <c r="H254" s="110"/>
      <c r="I254" s="110"/>
      <c r="J254" s="110"/>
      <c r="K254" s="110"/>
      <c r="L254" s="110"/>
      <c r="M254" s="110"/>
      <c r="N254" s="110"/>
    </row>
    <row r="255" spans="1:14">
      <c r="A255" s="328">
        <v>44494</v>
      </c>
      <c r="B255" s="237">
        <v>44496</v>
      </c>
      <c r="C255" s="193" t="s">
        <v>2016</v>
      </c>
      <c r="D255" s="192">
        <v>24453</v>
      </c>
      <c r="E255" s="196">
        <v>22177.35</v>
      </c>
      <c r="F255" s="196"/>
      <c r="G255" s="191" t="s">
        <v>1388</v>
      </c>
      <c r="H255" s="110"/>
      <c r="I255" s="110"/>
      <c r="J255" s="110"/>
      <c r="K255" s="110"/>
      <c r="L255" s="110"/>
      <c r="M255" s="110"/>
      <c r="N255" s="110"/>
    </row>
    <row r="256" spans="1:14">
      <c r="A256" s="328">
        <v>44494</v>
      </c>
      <c r="B256" s="237">
        <v>44497</v>
      </c>
      <c r="C256" s="193" t="s">
        <v>2017</v>
      </c>
      <c r="D256" s="192">
        <v>24454</v>
      </c>
      <c r="E256" s="196">
        <v>133899.75</v>
      </c>
      <c r="F256" s="196"/>
      <c r="G256" s="191" t="s">
        <v>1388</v>
      </c>
      <c r="H256" s="110"/>
      <c r="I256" s="110"/>
      <c r="J256" s="110"/>
      <c r="K256" s="110"/>
      <c r="L256" s="110"/>
      <c r="M256" s="110"/>
      <c r="N256" s="110"/>
    </row>
    <row r="257" spans="1:14">
      <c r="A257" s="328">
        <v>44494</v>
      </c>
      <c r="B257" s="237">
        <v>44496</v>
      </c>
      <c r="C257" s="193" t="s">
        <v>2018</v>
      </c>
      <c r="D257" s="192">
        <v>24455</v>
      </c>
      <c r="E257" s="196">
        <v>105213.81</v>
      </c>
      <c r="F257" s="196"/>
      <c r="G257" s="191" t="s">
        <v>1388</v>
      </c>
      <c r="H257" s="110"/>
      <c r="I257" s="110"/>
      <c r="J257" s="110"/>
      <c r="K257" s="110"/>
      <c r="L257" s="110"/>
      <c r="M257" s="110"/>
      <c r="N257" s="110"/>
    </row>
    <row r="258" spans="1:14">
      <c r="A258" s="328">
        <v>44494</v>
      </c>
      <c r="B258" s="237">
        <v>44496</v>
      </c>
      <c r="C258" s="193" t="s">
        <v>2019</v>
      </c>
      <c r="D258" s="192">
        <v>24456</v>
      </c>
      <c r="E258" s="196">
        <v>13523.27</v>
      </c>
      <c r="F258" s="196"/>
      <c r="G258" s="191" t="s">
        <v>1388</v>
      </c>
      <c r="H258" s="110"/>
      <c r="I258" s="110"/>
      <c r="J258" s="110"/>
      <c r="K258" s="110"/>
      <c r="L258" s="110"/>
      <c r="M258" s="110"/>
      <c r="N258" s="110"/>
    </row>
    <row r="259" spans="1:14">
      <c r="A259" s="328">
        <v>44494</v>
      </c>
      <c r="B259" s="237">
        <v>44496</v>
      </c>
      <c r="C259" s="193" t="s">
        <v>1338</v>
      </c>
      <c r="D259" s="192">
        <v>24457</v>
      </c>
      <c r="E259" s="196">
        <v>12500</v>
      </c>
      <c r="F259" s="196">
        <f>SUM(E144:E259)</f>
        <v>47115540.770000003</v>
      </c>
      <c r="G259" s="191" t="s">
        <v>1388</v>
      </c>
      <c r="H259" s="110"/>
      <c r="I259" s="110"/>
      <c r="J259" s="110"/>
      <c r="K259" s="110"/>
      <c r="L259" s="110"/>
      <c r="M259" s="110"/>
      <c r="N259" s="110"/>
    </row>
    <row r="260" spans="1:14">
      <c r="A260" s="328">
        <v>44494</v>
      </c>
      <c r="B260" s="237">
        <v>44497</v>
      </c>
      <c r="C260" s="193" t="s">
        <v>1906</v>
      </c>
      <c r="D260" s="192">
        <v>24458</v>
      </c>
      <c r="E260" s="196">
        <v>866400</v>
      </c>
      <c r="F260" s="196">
        <f>SUM(E253:E260)</f>
        <v>1342586.59</v>
      </c>
      <c r="G260" s="191" t="s">
        <v>1387</v>
      </c>
      <c r="H260" s="110"/>
      <c r="I260" s="110">
        <v>45600</v>
      </c>
      <c r="J260" s="110"/>
      <c r="K260" s="110"/>
      <c r="L260" s="110"/>
      <c r="M260" s="110"/>
      <c r="N260" s="110"/>
    </row>
    <row r="261" spans="1:14">
      <c r="A261" s="328">
        <v>44494</v>
      </c>
      <c r="B261" s="237">
        <v>44491</v>
      </c>
      <c r="C261" s="193" t="s">
        <v>1070</v>
      </c>
      <c r="D261" s="192">
        <v>24460</v>
      </c>
      <c r="E261" s="196">
        <v>267854.06</v>
      </c>
      <c r="F261" s="196"/>
      <c r="G261" s="191" t="s">
        <v>1892</v>
      </c>
      <c r="H261" s="110"/>
      <c r="I261" s="110">
        <v>12446.75</v>
      </c>
      <c r="J261" s="110"/>
      <c r="K261" s="110"/>
      <c r="L261" s="110"/>
      <c r="M261" s="110"/>
      <c r="N261" s="110">
        <v>13442.49</v>
      </c>
    </row>
    <row r="262" spans="1:14">
      <c r="A262" s="328">
        <v>44496</v>
      </c>
      <c r="B262" s="237">
        <v>44496</v>
      </c>
      <c r="C262" s="193" t="s">
        <v>1389</v>
      </c>
      <c r="D262" s="192">
        <v>24461</v>
      </c>
      <c r="E262" s="196">
        <v>1500000</v>
      </c>
      <c r="F262" s="196"/>
      <c r="G262" s="191" t="s">
        <v>1390</v>
      </c>
    </row>
    <row r="263" spans="1:14">
      <c r="A263" s="328">
        <v>44496</v>
      </c>
      <c r="B263" s="237">
        <v>44497</v>
      </c>
      <c r="C263" s="193" t="s">
        <v>1389</v>
      </c>
      <c r="D263" s="192">
        <v>24462</v>
      </c>
      <c r="E263" s="196">
        <v>737560</v>
      </c>
      <c r="F263" s="196"/>
      <c r="G263" s="191" t="s">
        <v>1390</v>
      </c>
    </row>
    <row r="264" spans="1:14">
      <c r="A264" s="328">
        <v>44497</v>
      </c>
      <c r="B264" s="237">
        <v>44498</v>
      </c>
      <c r="C264" s="193" t="s">
        <v>1389</v>
      </c>
      <c r="D264" s="192">
        <v>24463</v>
      </c>
      <c r="E264" s="196">
        <v>737885</v>
      </c>
      <c r="F264" s="196">
        <f>SUM(E247:E264)</f>
        <v>5011704.1500000004</v>
      </c>
      <c r="G264" s="191" t="s">
        <v>1390</v>
      </c>
    </row>
    <row r="265" spans="1:14" ht="15.75">
      <c r="C265" s="252" t="s">
        <v>1396</v>
      </c>
      <c r="E265" s="253">
        <f>SUM(E8:E264)</f>
        <v>142388609.90000004</v>
      </c>
      <c r="F265" s="253">
        <f>SUM(F8:F264)</f>
        <v>132102698.15000004</v>
      </c>
      <c r="G265" s="254">
        <f>+F265-F214-F28</f>
        <v>132102698.15000004</v>
      </c>
    </row>
    <row r="266" spans="1:14">
      <c r="E266" s="255"/>
      <c r="F266" s="255"/>
    </row>
    <row r="267" spans="1:14">
      <c r="E267" s="255"/>
      <c r="F267" s="255"/>
    </row>
    <row r="268" spans="1:14">
      <c r="E268" s="255"/>
      <c r="F268" s="255"/>
    </row>
    <row r="269" spans="1:14" ht="15.75">
      <c r="C269" s="256" t="s">
        <v>1397</v>
      </c>
      <c r="E269" s="255"/>
      <c r="F269" s="255"/>
    </row>
    <row r="270" spans="1:14">
      <c r="A270" s="237">
        <v>44476</v>
      </c>
      <c r="B270" s="258"/>
      <c r="C270" s="259" t="s">
        <v>1398</v>
      </c>
      <c r="D270" s="333">
        <v>24536793820</v>
      </c>
      <c r="E270" s="334">
        <v>3800000</v>
      </c>
      <c r="F270" s="334"/>
    </row>
    <row r="271" spans="1:14">
      <c r="A271" s="237">
        <v>44477</v>
      </c>
      <c r="B271" s="258"/>
      <c r="C271" s="262" t="s">
        <v>1398</v>
      </c>
      <c r="D271" s="333">
        <v>24544147120</v>
      </c>
      <c r="E271" s="307">
        <v>3200000</v>
      </c>
      <c r="F271" s="307"/>
    </row>
    <row r="272" spans="1:14">
      <c r="A272" s="237">
        <v>44481</v>
      </c>
      <c r="B272" s="258"/>
      <c r="C272" s="259" t="s">
        <v>1398</v>
      </c>
      <c r="D272" s="333">
        <v>24566987252</v>
      </c>
      <c r="E272" s="307">
        <v>800000</v>
      </c>
      <c r="F272" s="307"/>
    </row>
    <row r="273" spans="1:6">
      <c r="A273" s="237">
        <v>44482</v>
      </c>
      <c r="B273" s="258"/>
      <c r="C273" s="259" t="s">
        <v>1398</v>
      </c>
      <c r="D273" s="333">
        <v>24577475044</v>
      </c>
      <c r="E273" s="307">
        <v>800000</v>
      </c>
      <c r="F273" s="307"/>
    </row>
    <row r="274" spans="1:6">
      <c r="A274" s="237">
        <v>44482</v>
      </c>
      <c r="B274" s="258"/>
      <c r="C274" s="259" t="s">
        <v>1398</v>
      </c>
      <c r="D274" s="333">
        <v>24575302183</v>
      </c>
      <c r="E274" s="307">
        <v>1000000</v>
      </c>
      <c r="F274" s="307"/>
    </row>
    <row r="275" spans="1:6">
      <c r="A275" s="237">
        <v>44484</v>
      </c>
      <c r="B275" s="258"/>
      <c r="C275" s="259" t="s">
        <v>1398</v>
      </c>
      <c r="D275" s="333">
        <v>24592868584</v>
      </c>
      <c r="E275" s="307">
        <v>1400000</v>
      </c>
      <c r="F275" s="307"/>
    </row>
    <row r="276" spans="1:6">
      <c r="A276" s="237">
        <v>44484</v>
      </c>
      <c r="B276" s="258"/>
      <c r="C276" s="259" t="s">
        <v>1398</v>
      </c>
      <c r="D276" s="333">
        <v>24592732461</v>
      </c>
      <c r="E276" s="307">
        <v>15000</v>
      </c>
      <c r="F276" s="307"/>
    </row>
    <row r="277" spans="1:6">
      <c r="A277" s="237">
        <v>44484</v>
      </c>
      <c r="B277" s="258"/>
      <c r="C277" s="262" t="s">
        <v>1398</v>
      </c>
      <c r="D277" s="333">
        <v>24592598288</v>
      </c>
      <c r="E277" s="307">
        <v>2480000</v>
      </c>
      <c r="F277" s="307"/>
    </row>
    <row r="278" spans="1:6">
      <c r="A278" s="237">
        <v>44488</v>
      </c>
      <c r="C278" s="262" t="s">
        <v>1398</v>
      </c>
      <c r="D278" s="333">
        <v>24624272235</v>
      </c>
      <c r="E278" s="307">
        <v>70000</v>
      </c>
      <c r="F278" s="307"/>
    </row>
    <row r="279" spans="1:6">
      <c r="A279" s="237">
        <v>44488</v>
      </c>
      <c r="C279" s="262" t="s">
        <v>1398</v>
      </c>
      <c r="D279" s="333">
        <v>24619787519</v>
      </c>
      <c r="E279" s="307">
        <v>1300000</v>
      </c>
      <c r="F279" s="307"/>
    </row>
    <row r="280" spans="1:6">
      <c r="A280" s="237">
        <v>44489</v>
      </c>
      <c r="C280" s="262" t="s">
        <v>1398</v>
      </c>
      <c r="D280" s="333">
        <v>24631495520</v>
      </c>
      <c r="E280" s="307">
        <v>1860000</v>
      </c>
      <c r="F280" s="307"/>
    </row>
    <row r="281" spans="1:6">
      <c r="A281" s="237">
        <v>44491</v>
      </c>
      <c r="C281" s="262" t="s">
        <v>1398</v>
      </c>
      <c r="D281" s="333">
        <v>24650810347</v>
      </c>
      <c r="E281" s="307">
        <v>4800000</v>
      </c>
      <c r="F281" s="307"/>
    </row>
    <row r="282" spans="1:6">
      <c r="A282" s="237">
        <v>44494</v>
      </c>
      <c r="C282" s="262" t="s">
        <v>1398</v>
      </c>
      <c r="D282" s="333">
        <v>24676373625</v>
      </c>
      <c r="E282" s="307">
        <v>350000</v>
      </c>
      <c r="F282" s="307"/>
    </row>
    <row r="283" spans="1:6">
      <c r="A283" s="237">
        <v>44494</v>
      </c>
      <c r="C283" s="262" t="s">
        <v>1398</v>
      </c>
      <c r="D283" s="333">
        <v>24675839849</v>
      </c>
      <c r="E283" s="307">
        <v>900000</v>
      </c>
      <c r="F283" s="307"/>
    </row>
    <row r="284" spans="1:6">
      <c r="A284" s="237">
        <v>44496</v>
      </c>
      <c r="B284" s="258"/>
      <c r="C284" s="259" t="s">
        <v>1398</v>
      </c>
      <c r="D284" s="333">
        <v>24694237019</v>
      </c>
      <c r="E284" s="307">
        <v>3700000</v>
      </c>
      <c r="F284" s="307"/>
    </row>
    <row r="285" spans="1:6">
      <c r="A285" s="237">
        <v>44498</v>
      </c>
      <c r="B285" s="258"/>
      <c r="C285" s="259" t="s">
        <v>1398</v>
      </c>
      <c r="D285" s="333">
        <v>24714358085</v>
      </c>
      <c r="E285" s="335">
        <v>4200000</v>
      </c>
      <c r="F285" s="334"/>
    </row>
    <row r="286" spans="1:6" ht="15.75">
      <c r="A286" s="265"/>
      <c r="C286" s="252" t="s">
        <v>1396</v>
      </c>
      <c r="D286" s="266"/>
      <c r="E286" s="267">
        <f>SUM(E270:E285)</f>
        <v>30675000</v>
      </c>
      <c r="F286" s="267"/>
    </row>
    <row r="287" spans="1:6" ht="15.75">
      <c r="C287" s="252"/>
      <c r="E287" s="255"/>
      <c r="F287" s="255"/>
    </row>
    <row r="288" spans="1:6" ht="15.75">
      <c r="C288" s="252"/>
      <c r="E288" s="255"/>
      <c r="F288" s="255"/>
    </row>
    <row r="289" spans="1:9" ht="15.75">
      <c r="C289" s="252"/>
      <c r="E289" s="255"/>
      <c r="F289" s="255"/>
    </row>
    <row r="290" spans="1:9">
      <c r="C290" s="268" t="s">
        <v>1399</v>
      </c>
      <c r="E290" s="255"/>
      <c r="F290" s="255"/>
    </row>
    <row r="291" spans="1:9">
      <c r="A291" s="237">
        <v>44483</v>
      </c>
      <c r="B291" s="197"/>
      <c r="C291" s="262" t="s">
        <v>1401</v>
      </c>
      <c r="D291" s="333">
        <v>24321</v>
      </c>
      <c r="E291" s="307">
        <v>1438719.6</v>
      </c>
      <c r="F291" s="307"/>
      <c r="G291" s="270"/>
      <c r="H291" s="129"/>
      <c r="I291" s="271"/>
    </row>
    <row r="292" spans="1:9">
      <c r="A292" s="237">
        <v>44476</v>
      </c>
      <c r="C292" s="262" t="s">
        <v>1401</v>
      </c>
      <c r="D292" s="333">
        <v>999067275</v>
      </c>
      <c r="E292" s="307">
        <v>16252.56</v>
      </c>
      <c r="F292" s="307"/>
      <c r="G292" s="270"/>
      <c r="H292" s="129"/>
      <c r="I292" s="271"/>
    </row>
    <row r="293" spans="1:9">
      <c r="A293" s="330">
        <v>44483</v>
      </c>
      <c r="C293" s="336" t="s">
        <v>1400</v>
      </c>
      <c r="D293" s="337">
        <v>24322</v>
      </c>
      <c r="E293" s="281">
        <v>56529.760000000002</v>
      </c>
      <c r="F293" s="281">
        <f>+E293</f>
        <v>56529.760000000002</v>
      </c>
      <c r="G293" s="270" t="s">
        <v>1405</v>
      </c>
      <c r="H293" s="129"/>
      <c r="I293" s="338"/>
    </row>
    <row r="294" spans="1:9" ht="15.75">
      <c r="C294" s="252" t="s">
        <v>1396</v>
      </c>
      <c r="E294" s="253">
        <f>SUM(E291:E293)</f>
        <v>1511501.9200000002</v>
      </c>
      <c r="F294" s="339">
        <f>SUM(F291:F293)</f>
        <v>56529.760000000002</v>
      </c>
    </row>
    <row r="295" spans="1:9" ht="15.75">
      <c r="C295" s="252"/>
      <c r="E295" s="255"/>
      <c r="F295" s="255"/>
    </row>
    <row r="298" spans="1:9" ht="15.75">
      <c r="C298" s="252"/>
      <c r="E298" s="255"/>
      <c r="F298" s="255"/>
    </row>
    <row r="299" spans="1:9" ht="15.75">
      <c r="C299" s="252"/>
      <c r="E299" s="255"/>
      <c r="F299" s="255"/>
    </row>
    <row r="300" spans="1:9">
      <c r="C300" s="274" t="s">
        <v>1402</v>
      </c>
    </row>
    <row r="301" spans="1:9">
      <c r="B301" s="258"/>
      <c r="C301" s="276" t="s">
        <v>1403</v>
      </c>
      <c r="D301" s="260"/>
      <c r="E301" s="308">
        <v>270696.01000000007</v>
      </c>
      <c r="F301" s="261">
        <f>+E301+E302</f>
        <v>268399.48000000004</v>
      </c>
      <c r="G301" s="197" t="s">
        <v>1351</v>
      </c>
    </row>
    <row r="302" spans="1:9">
      <c r="B302" s="258"/>
      <c r="C302" s="276" t="s">
        <v>2026</v>
      </c>
      <c r="D302" s="260"/>
      <c r="E302" s="308">
        <f>-'[1]OCT.-ING.'!D85</f>
        <v>-2296.5300000000002</v>
      </c>
      <c r="F302" s="261"/>
    </row>
    <row r="303" spans="1:9">
      <c r="B303" s="258"/>
      <c r="C303" s="276" t="s">
        <v>2027</v>
      </c>
      <c r="D303" s="260"/>
      <c r="E303" s="308">
        <v>-0.39</v>
      </c>
      <c r="F303" s="261"/>
      <c r="G303" s="197" t="s">
        <v>1353</v>
      </c>
    </row>
    <row r="304" spans="1:9">
      <c r="C304" s="238" t="s">
        <v>1406</v>
      </c>
      <c r="D304" s="266"/>
      <c r="E304" s="340">
        <v>108675</v>
      </c>
      <c r="F304" s="283">
        <f>+E304+E303</f>
        <v>108674.61</v>
      </c>
      <c r="G304" s="197" t="s">
        <v>1353</v>
      </c>
    </row>
    <row r="305" spans="1:14">
      <c r="C305" s="238" t="s">
        <v>1407</v>
      </c>
      <c r="E305" s="288">
        <v>143379.02000000002</v>
      </c>
      <c r="F305" s="240">
        <f>+E305</f>
        <v>143379.02000000002</v>
      </c>
      <c r="G305" s="197" t="s">
        <v>2028</v>
      </c>
    </row>
    <row r="306" spans="1:14" ht="15.75">
      <c r="C306" s="252" t="s">
        <v>1396</v>
      </c>
      <c r="E306" s="284">
        <f>SUM(E301:E305)</f>
        <v>520453.11000000004</v>
      </c>
      <c r="F306" s="341">
        <f>SUM(F301:F305)</f>
        <v>520453.11000000004</v>
      </c>
    </row>
    <row r="310" spans="1:14" ht="15.75" thickBot="1">
      <c r="C310" s="285" t="s">
        <v>1408</v>
      </c>
      <c r="E310" s="286">
        <f>+E306+E294+E286+E265</f>
        <v>175095564.93000004</v>
      </c>
      <c r="F310" s="287">
        <f>+F306+F294+G265</f>
        <v>132679681.02000004</v>
      </c>
      <c r="G310" s="289"/>
      <c r="I310" s="342">
        <f t="shared" ref="I310:N310" si="0">SUM(I8:I309)</f>
        <v>1988548.2</v>
      </c>
      <c r="J310" s="342">
        <f t="shared" si="0"/>
        <v>242376.89</v>
      </c>
      <c r="K310" s="342">
        <f t="shared" si="0"/>
        <v>3100</v>
      </c>
      <c r="L310" s="342">
        <f t="shared" si="0"/>
        <v>43500</v>
      </c>
      <c r="M310" s="342">
        <f t="shared" si="0"/>
        <v>172080</v>
      </c>
      <c r="N310" s="342">
        <f t="shared" si="0"/>
        <v>73189.02</v>
      </c>
    </row>
    <row r="311" spans="1:14" ht="15.75" thickTop="1">
      <c r="G311" s="198"/>
    </row>
    <row r="312" spans="1:14">
      <c r="G312" s="343"/>
    </row>
    <row r="313" spans="1:14" ht="15.75">
      <c r="C313" s="344" t="s">
        <v>2029</v>
      </c>
    </row>
    <row r="314" spans="1:14">
      <c r="C314" s="238"/>
      <c r="G314" s="289"/>
    </row>
    <row r="315" spans="1:14" ht="15.75">
      <c r="A315" s="237" t="s">
        <v>2030</v>
      </c>
      <c r="B315" s="237" t="s">
        <v>2030</v>
      </c>
      <c r="C315" s="238" t="s">
        <v>2031</v>
      </c>
      <c r="D315" s="345" t="s">
        <v>2032</v>
      </c>
      <c r="E315" s="240">
        <v>135000</v>
      </c>
      <c r="F315" s="240"/>
      <c r="J315" s="198">
        <v>15000</v>
      </c>
    </row>
    <row r="316" spans="1:14" ht="15.75">
      <c r="A316" s="346" t="s">
        <v>2033</v>
      </c>
      <c r="B316" s="346" t="s">
        <v>2033</v>
      </c>
      <c r="C316" s="197" t="s">
        <v>2034</v>
      </c>
      <c r="D316" s="345" t="s">
        <v>2035</v>
      </c>
      <c r="E316" s="347">
        <v>31500</v>
      </c>
      <c r="F316" s="347"/>
      <c r="L316" s="198">
        <v>3500</v>
      </c>
      <c r="M316" s="198">
        <v>6300</v>
      </c>
    </row>
    <row r="317" spans="1:14" ht="15.75">
      <c r="A317" s="346" t="s">
        <v>2033</v>
      </c>
      <c r="B317" s="346" t="s">
        <v>2033</v>
      </c>
      <c r="C317" s="197" t="s">
        <v>2036</v>
      </c>
      <c r="D317" s="345" t="s">
        <v>2037</v>
      </c>
      <c r="E317" s="347">
        <v>37660</v>
      </c>
      <c r="F317" s="347"/>
      <c r="I317" s="311">
        <v>1750</v>
      </c>
      <c r="J317" s="311"/>
      <c r="K317" s="311"/>
      <c r="L317" s="311"/>
      <c r="M317" s="311"/>
      <c r="N317" s="311">
        <v>1890</v>
      </c>
    </row>
    <row r="318" spans="1:14">
      <c r="A318" s="265"/>
      <c r="B318" s="265"/>
      <c r="D318" s="266"/>
      <c r="E318" s="289"/>
      <c r="F318" s="289"/>
    </row>
    <row r="319" spans="1:14">
      <c r="A319" s="265"/>
      <c r="B319" s="265"/>
      <c r="D319" s="266"/>
      <c r="E319" s="289"/>
      <c r="F319" s="289"/>
      <c r="I319" s="348">
        <f t="shared" ref="I319:N319" si="1">SUM(I315:I317)</f>
        <v>1750</v>
      </c>
      <c r="J319" s="348">
        <f t="shared" si="1"/>
        <v>15000</v>
      </c>
      <c r="K319" s="348">
        <f t="shared" si="1"/>
        <v>0</v>
      </c>
      <c r="L319" s="348">
        <f t="shared" si="1"/>
        <v>3500</v>
      </c>
      <c r="M319" s="348">
        <f t="shared" si="1"/>
        <v>6300</v>
      </c>
      <c r="N319" s="348">
        <f t="shared" si="1"/>
        <v>1890</v>
      </c>
    </row>
    <row r="320" spans="1:14">
      <c r="A320" s="265"/>
      <c r="B320" s="265"/>
      <c r="D320" s="266"/>
      <c r="E320" s="289"/>
      <c r="F320" s="289"/>
    </row>
    <row r="321" spans="1:14" ht="15.75" thickBot="1">
      <c r="A321" s="265"/>
      <c r="B321" s="265"/>
      <c r="D321" s="266"/>
      <c r="E321" s="289"/>
      <c r="F321" s="289"/>
      <c r="I321" s="349">
        <f t="shared" ref="I321:N321" si="2">+I310+I319</f>
        <v>1990298.2</v>
      </c>
      <c r="J321" s="349">
        <f t="shared" si="2"/>
        <v>257376.89</v>
      </c>
      <c r="K321" s="349">
        <f t="shared" si="2"/>
        <v>3100</v>
      </c>
      <c r="L321" s="349">
        <f t="shared" si="2"/>
        <v>47000</v>
      </c>
      <c r="M321" s="349">
        <f t="shared" si="2"/>
        <v>178380</v>
      </c>
      <c r="N321" s="349">
        <f t="shared" si="2"/>
        <v>75079.02</v>
      </c>
    </row>
    <row r="322" spans="1:14" ht="15.75" thickTop="1">
      <c r="A322" s="265"/>
      <c r="B322" s="265"/>
      <c r="D322" s="266"/>
      <c r="E322" s="289"/>
      <c r="F322" s="289"/>
    </row>
    <row r="323" spans="1:14" ht="18">
      <c r="A323" s="265"/>
      <c r="B323" s="405" t="s">
        <v>1409</v>
      </c>
      <c r="C323" s="405"/>
      <c r="D323" s="405"/>
      <c r="E323" s="405"/>
      <c r="F323" s="320"/>
    </row>
    <row r="324" spans="1:14" ht="16.5">
      <c r="A324" s="265"/>
      <c r="B324" s="406" t="s">
        <v>1410</v>
      </c>
      <c r="C324" s="406"/>
      <c r="D324" s="406"/>
      <c r="E324" s="406"/>
      <c r="F324" s="321"/>
    </row>
    <row r="325" spans="1:14">
      <c r="A325" s="265"/>
      <c r="B325" s="407" t="s">
        <v>2038</v>
      </c>
      <c r="C325" s="407"/>
      <c r="D325" s="407"/>
      <c r="E325" s="407"/>
      <c r="F325" s="322"/>
    </row>
    <row r="326" spans="1:14">
      <c r="A326" s="265"/>
      <c r="B326" s="292"/>
      <c r="C326" s="193"/>
      <c r="D326" s="192"/>
      <c r="E326" s="193"/>
      <c r="F326" s="193"/>
    </row>
    <row r="327" spans="1:14">
      <c r="A327" s="265"/>
      <c r="B327" s="292"/>
      <c r="C327" s="193"/>
      <c r="D327" s="192"/>
      <c r="E327" s="193"/>
      <c r="F327" s="193"/>
    </row>
    <row r="328" spans="1:14">
      <c r="A328" s="265"/>
      <c r="B328" s="293" t="s">
        <v>1058</v>
      </c>
      <c r="C328" s="294" t="s">
        <v>3</v>
      </c>
      <c r="D328" s="294" t="s">
        <v>1411</v>
      </c>
      <c r="E328" s="294" t="s">
        <v>1412</v>
      </c>
      <c r="F328" s="295"/>
      <c r="H328" s="198">
        <f>SUM(H330:H333)</f>
        <v>3091994.21</v>
      </c>
    </row>
    <row r="329" spans="1:14">
      <c r="A329" s="265"/>
      <c r="B329" s="296"/>
      <c r="C329" s="297" t="s">
        <v>1413</v>
      </c>
      <c r="D329" s="295"/>
      <c r="E329" s="295"/>
      <c r="F329" s="295"/>
    </row>
    <row r="330" spans="1:14">
      <c r="A330" s="265"/>
      <c r="B330" s="248"/>
      <c r="C330" s="298" t="s">
        <v>1414</v>
      </c>
      <c r="D330" s="295"/>
      <c r="E330" s="198">
        <v>181569.71000000005</v>
      </c>
      <c r="F330" s="299">
        <f t="shared" ref="F330:F338" si="3">+E330</f>
        <v>181569.71000000005</v>
      </c>
      <c r="G330" s="14" t="s">
        <v>1415</v>
      </c>
      <c r="H330" s="198">
        <v>181569.71000000005</v>
      </c>
    </row>
    <row r="331" spans="1:14">
      <c r="A331" s="265"/>
      <c r="B331" s="248"/>
      <c r="C331" s="298"/>
      <c r="D331" s="295"/>
      <c r="E331" s="198">
        <f>726566*0.75</f>
        <v>544924.5</v>
      </c>
      <c r="F331" s="299">
        <f t="shared" si="3"/>
        <v>544924.5</v>
      </c>
      <c r="G331" s="14" t="s">
        <v>1416</v>
      </c>
      <c r="H331" s="198">
        <f>726566*0.75</f>
        <v>544924.5</v>
      </c>
    </row>
    <row r="332" spans="1:14">
      <c r="A332" s="265"/>
      <c r="B332" s="248"/>
      <c r="C332" s="298"/>
      <c r="D332" s="295"/>
      <c r="E332" s="198">
        <f>1789000*0.75</f>
        <v>1341750</v>
      </c>
      <c r="F332" s="299">
        <f t="shared" si="3"/>
        <v>1341750</v>
      </c>
      <c r="G332" s="14" t="s">
        <v>1417</v>
      </c>
      <c r="H332" s="198">
        <f>1789000*0.75</f>
        <v>1341750</v>
      </c>
    </row>
    <row r="333" spans="1:14">
      <c r="A333" s="265"/>
      <c r="B333" s="248"/>
      <c r="C333" s="298"/>
      <c r="D333" s="295"/>
      <c r="E333" s="198">
        <v>1023750</v>
      </c>
      <c r="F333" s="299">
        <f t="shared" si="3"/>
        <v>1023750</v>
      </c>
      <c r="G333" s="14" t="s">
        <v>1418</v>
      </c>
      <c r="H333" s="198">
        <v>1023750</v>
      </c>
    </row>
    <row r="334" spans="1:14">
      <c r="A334" s="265"/>
      <c r="B334" s="248"/>
      <c r="C334" s="298" t="s">
        <v>2039</v>
      </c>
      <c r="D334" s="295"/>
      <c r="E334" s="198">
        <v>0</v>
      </c>
      <c r="F334" s="299"/>
      <c r="G334" s="14"/>
    </row>
    <row r="335" spans="1:14">
      <c r="A335" s="265"/>
      <c r="B335" s="248"/>
      <c r="C335" s="298"/>
      <c r="D335" s="295"/>
      <c r="E335" s="198">
        <v>47043665.109999999</v>
      </c>
      <c r="F335" s="299">
        <f>+E335+E334</f>
        <v>47043665.109999999</v>
      </c>
      <c r="G335" s="14" t="s">
        <v>1395</v>
      </c>
      <c r="H335" s="198">
        <v>47043665.109999999</v>
      </c>
    </row>
    <row r="336" spans="1:14">
      <c r="A336" s="265"/>
      <c r="B336" s="248"/>
      <c r="C336" s="298" t="s">
        <v>1419</v>
      </c>
      <c r="D336" s="295"/>
      <c r="E336" s="261">
        <v>3529923.15</v>
      </c>
      <c r="F336" s="261">
        <f t="shared" si="3"/>
        <v>3529923.15</v>
      </c>
      <c r="G336" s="197" t="s">
        <v>1880</v>
      </c>
    </row>
    <row r="337" spans="1:7">
      <c r="A337" s="265"/>
      <c r="B337" s="248"/>
      <c r="C337" s="298" t="s">
        <v>1420</v>
      </c>
      <c r="D337" s="295"/>
      <c r="E337" s="261">
        <v>135000</v>
      </c>
      <c r="F337" s="261">
        <f t="shared" si="3"/>
        <v>135000</v>
      </c>
      <c r="G337" s="197" t="s">
        <v>1394</v>
      </c>
    </row>
    <row r="338" spans="1:7">
      <c r="A338" s="265"/>
      <c r="B338" s="248"/>
      <c r="C338" s="300" t="s">
        <v>1421</v>
      </c>
      <c r="D338" s="295"/>
      <c r="E338" s="263">
        <v>3358348.98</v>
      </c>
      <c r="F338" s="264">
        <f t="shared" si="3"/>
        <v>3358348.98</v>
      </c>
      <c r="G338" s="197" t="s">
        <v>1421</v>
      </c>
    </row>
    <row r="339" spans="1:7">
      <c r="A339" s="265"/>
      <c r="B339" s="296"/>
      <c r="C339" s="322" t="s">
        <v>1422</v>
      </c>
      <c r="D339" s="295"/>
      <c r="E339" s="301">
        <f>SUM(E330:E338)</f>
        <v>57158931.449999996</v>
      </c>
      <c r="F339" s="350">
        <f>SUM(F330:F338)</f>
        <v>57158931.449999996</v>
      </c>
    </row>
    <row r="340" spans="1:7">
      <c r="A340" s="265"/>
      <c r="B340" s="296"/>
      <c r="C340" s="295"/>
      <c r="D340" s="295"/>
      <c r="E340" s="302"/>
      <c r="F340" s="302"/>
    </row>
    <row r="341" spans="1:7">
      <c r="A341" s="265"/>
      <c r="B341" s="296"/>
      <c r="C341" s="295"/>
      <c r="D341" s="295"/>
      <c r="E341" s="302"/>
      <c r="F341" s="302"/>
    </row>
    <row r="342" spans="1:7">
      <c r="A342" s="265"/>
      <c r="B342" s="296"/>
      <c r="C342" s="295"/>
      <c r="D342" s="295"/>
      <c r="E342" s="302"/>
      <c r="F342" s="302"/>
    </row>
    <row r="343" spans="1:7" ht="15.75">
      <c r="A343" s="265"/>
      <c r="B343" s="247"/>
      <c r="C343" s="256" t="s">
        <v>1397</v>
      </c>
      <c r="D343" s="192"/>
      <c r="E343" s="196"/>
      <c r="F343" s="196"/>
    </row>
    <row r="344" spans="1:7">
      <c r="A344" s="265"/>
      <c r="B344" s="237">
        <v>44481</v>
      </c>
      <c r="C344" s="292" t="s">
        <v>1423</v>
      </c>
      <c r="D344" s="259">
        <v>24567280165</v>
      </c>
      <c r="E344" s="307">
        <v>680000</v>
      </c>
      <c r="F344" s="307"/>
    </row>
    <row r="345" spans="1:7">
      <c r="A345" s="265"/>
      <c r="B345" s="237">
        <v>44487</v>
      </c>
      <c r="C345" s="292" t="s">
        <v>1423</v>
      </c>
      <c r="D345" s="259">
        <v>24617707595</v>
      </c>
      <c r="E345" s="307">
        <v>22100000</v>
      </c>
      <c r="F345" s="307"/>
    </row>
    <row r="346" spans="1:7">
      <c r="A346" s="265"/>
      <c r="B346" s="237">
        <v>44494</v>
      </c>
      <c r="C346" s="292" t="s">
        <v>1423</v>
      </c>
      <c r="D346" s="259">
        <v>24675895785</v>
      </c>
      <c r="E346" s="307">
        <v>800000</v>
      </c>
      <c r="F346" s="307"/>
    </row>
    <row r="347" spans="1:7">
      <c r="A347" s="265"/>
      <c r="B347" s="237">
        <v>44497</v>
      </c>
      <c r="C347" s="292" t="s">
        <v>1423</v>
      </c>
      <c r="D347" s="259">
        <v>24702608084</v>
      </c>
      <c r="E347" s="307">
        <v>1000000</v>
      </c>
      <c r="F347" s="307"/>
    </row>
    <row r="348" spans="1:7">
      <c r="A348" s="265"/>
      <c r="B348" s="247"/>
      <c r="C348" s="322" t="s">
        <v>1422</v>
      </c>
      <c r="D348" s="192"/>
      <c r="E348" s="303">
        <f>SUM(E344:E347)</f>
        <v>24580000</v>
      </c>
      <c r="F348" s="304"/>
    </row>
    <row r="349" spans="1:7">
      <c r="A349" s="265"/>
      <c r="B349" s="247"/>
      <c r="C349" s="322"/>
      <c r="D349" s="192"/>
      <c r="E349" s="304"/>
      <c r="F349" s="304"/>
    </row>
    <row r="350" spans="1:7">
      <c r="A350" s="265"/>
      <c r="B350" s="247"/>
      <c r="C350" s="322"/>
      <c r="D350" s="192"/>
      <c r="E350" s="304"/>
      <c r="F350" s="304"/>
    </row>
    <row r="351" spans="1:7">
      <c r="A351" s="265"/>
      <c r="B351" s="247"/>
      <c r="C351" s="322"/>
      <c r="D351" s="192"/>
      <c r="E351" s="304"/>
      <c r="F351" s="304"/>
    </row>
    <row r="352" spans="1:7">
      <c r="A352" s="265"/>
      <c r="B352" s="247"/>
      <c r="C352" s="268" t="s">
        <v>1424</v>
      </c>
      <c r="D352" s="192"/>
      <c r="E352" s="304"/>
      <c r="F352" s="304"/>
    </row>
    <row r="353" spans="1:7">
      <c r="A353" s="265"/>
      <c r="B353" s="248"/>
      <c r="C353" s="193" t="s">
        <v>1425</v>
      </c>
      <c r="D353" s="260"/>
      <c r="E353" s="261">
        <v>21049100</v>
      </c>
      <c r="F353" s="261">
        <f>+E353</f>
        <v>21049100</v>
      </c>
      <c r="G353" s="197" t="s">
        <v>1880</v>
      </c>
    </row>
    <row r="354" spans="1:7">
      <c r="A354" s="265"/>
      <c r="B354" s="248"/>
      <c r="C354" s="193" t="s">
        <v>1427</v>
      </c>
      <c r="D354" s="260"/>
      <c r="E354" s="261">
        <v>69160</v>
      </c>
      <c r="F354" s="261">
        <f>+E354</f>
        <v>69160</v>
      </c>
      <c r="G354" s="197" t="s">
        <v>1394</v>
      </c>
    </row>
    <row r="355" spans="1:7">
      <c r="A355" s="265"/>
      <c r="B355" s="248"/>
      <c r="C355" s="193" t="s">
        <v>1426</v>
      </c>
      <c r="D355" s="260"/>
      <c r="E355" s="261">
        <v>198300</v>
      </c>
      <c r="F355" s="261"/>
      <c r="G355" s="197" t="s">
        <v>1395</v>
      </c>
    </row>
    <row r="356" spans="1:7">
      <c r="A356" s="265"/>
      <c r="B356" s="248"/>
      <c r="C356" s="193" t="s">
        <v>1881</v>
      </c>
      <c r="D356" s="260"/>
      <c r="E356" s="261">
        <v>173500</v>
      </c>
      <c r="F356" s="261"/>
      <c r="G356" s="197" t="s">
        <v>1395</v>
      </c>
    </row>
    <row r="357" spans="1:7" ht="29.25">
      <c r="A357" s="265"/>
      <c r="B357" s="248"/>
      <c r="C357" s="305" t="s">
        <v>1428</v>
      </c>
      <c r="D357" s="260"/>
      <c r="E357" s="261">
        <v>407526.46</v>
      </c>
      <c r="F357" s="261"/>
      <c r="G357" s="197" t="s">
        <v>1395</v>
      </c>
    </row>
    <row r="358" spans="1:7">
      <c r="A358" s="265"/>
      <c r="B358" s="248"/>
      <c r="C358" s="193" t="s">
        <v>1431</v>
      </c>
      <c r="D358" s="260"/>
      <c r="E358" s="261">
        <v>25747.5</v>
      </c>
      <c r="F358" s="261"/>
      <c r="G358" s="197" t="s">
        <v>1395</v>
      </c>
    </row>
    <row r="359" spans="1:7">
      <c r="A359" s="265"/>
      <c r="B359" s="248"/>
      <c r="C359" s="193" t="s">
        <v>1432</v>
      </c>
      <c r="D359" s="260"/>
      <c r="E359" s="261">
        <v>9800</v>
      </c>
      <c r="F359" s="261">
        <f>SUM(E355:E359)</f>
        <v>814873.96</v>
      </c>
      <c r="G359" s="197" t="s">
        <v>1395</v>
      </c>
    </row>
    <row r="360" spans="1:7">
      <c r="A360" s="265"/>
      <c r="B360" s="248"/>
      <c r="C360" s="193" t="s">
        <v>2040</v>
      </c>
      <c r="D360" s="260"/>
      <c r="E360" s="308">
        <v>-42050</v>
      </c>
      <c r="F360" s="261"/>
    </row>
    <row r="361" spans="1:7">
      <c r="A361" s="265"/>
      <c r="B361" s="248"/>
      <c r="C361" s="193" t="s">
        <v>1433</v>
      </c>
      <c r="D361" s="306"/>
      <c r="E361" s="307">
        <v>7131500</v>
      </c>
      <c r="F361" s="307">
        <f>+E361+E360</f>
        <v>7089450</v>
      </c>
      <c r="G361" s="197" t="s">
        <v>1882</v>
      </c>
    </row>
    <row r="362" spans="1:7">
      <c r="A362" s="265"/>
      <c r="B362" s="247"/>
      <c r="C362" s="193" t="s">
        <v>1429</v>
      </c>
      <c r="D362" s="260"/>
      <c r="E362" s="261"/>
      <c r="F362" s="261"/>
    </row>
    <row r="363" spans="1:7">
      <c r="A363" s="265"/>
      <c r="B363" s="247"/>
      <c r="C363" s="322" t="s">
        <v>1422</v>
      </c>
      <c r="D363" s="192"/>
      <c r="E363" s="303">
        <f>SUM(E353:E362)</f>
        <v>29022583.960000001</v>
      </c>
      <c r="F363" s="351">
        <f>SUM(F353:F362)</f>
        <v>29022583.960000001</v>
      </c>
    </row>
    <row r="364" spans="1:7">
      <c r="A364" s="265"/>
      <c r="B364" s="247"/>
      <c r="C364" s="193"/>
      <c r="D364" s="192"/>
      <c r="E364" s="309"/>
      <c r="F364" s="309"/>
    </row>
    <row r="365" spans="1:7">
      <c r="A365" s="265"/>
      <c r="B365" s="247"/>
      <c r="C365" s="193"/>
      <c r="D365" s="192"/>
      <c r="E365" s="309"/>
      <c r="F365" s="309"/>
    </row>
    <row r="366" spans="1:7">
      <c r="A366" s="265"/>
      <c r="B366" s="247"/>
      <c r="C366" s="193"/>
      <c r="D366" s="192"/>
      <c r="E366" s="309"/>
      <c r="F366" s="309"/>
    </row>
    <row r="367" spans="1:7">
      <c r="A367" s="265"/>
      <c r="B367" s="247"/>
      <c r="C367" s="193"/>
      <c r="D367" s="192"/>
      <c r="E367" s="309"/>
      <c r="F367" s="309"/>
    </row>
    <row r="368" spans="1:7">
      <c r="A368" s="265"/>
      <c r="B368" s="247"/>
      <c r="C368" s="193"/>
      <c r="D368" s="192"/>
      <c r="E368" s="309"/>
      <c r="F368" s="309"/>
    </row>
    <row r="369" spans="1:7">
      <c r="A369" s="265"/>
      <c r="B369" s="247"/>
      <c r="C369" s="297" t="s">
        <v>1434</v>
      </c>
      <c r="D369" s="192"/>
      <c r="E369" s="196"/>
      <c r="F369" s="196"/>
    </row>
    <row r="370" spans="1:7">
      <c r="A370" s="265"/>
      <c r="B370" s="247"/>
      <c r="C370" s="298" t="s">
        <v>1435</v>
      </c>
      <c r="D370" s="192"/>
      <c r="E370" s="307">
        <v>175</v>
      </c>
      <c r="F370" s="307">
        <f>+E370</f>
        <v>175</v>
      </c>
      <c r="G370" s="197" t="s">
        <v>1353</v>
      </c>
    </row>
    <row r="371" spans="1:7">
      <c r="A371" s="265"/>
      <c r="B371" s="247"/>
      <c r="C371" s="298" t="s">
        <v>1436</v>
      </c>
      <c r="D371" s="192"/>
      <c r="E371" s="310">
        <v>123615.89000000001</v>
      </c>
      <c r="F371" s="310">
        <f>+E371</f>
        <v>123615.89000000001</v>
      </c>
      <c r="G371" s="197" t="s">
        <v>2028</v>
      </c>
    </row>
    <row r="372" spans="1:7">
      <c r="A372" s="265"/>
      <c r="B372" s="247"/>
      <c r="C372" s="322" t="s">
        <v>1422</v>
      </c>
      <c r="D372" s="192"/>
      <c r="E372" s="312">
        <f>SUM(E370:E371)</f>
        <v>123790.89000000001</v>
      </c>
      <c r="F372" s="352">
        <f>SUM(F370:F371)</f>
        <v>123790.89000000001</v>
      </c>
    </row>
    <row r="373" spans="1:7">
      <c r="A373" s="265"/>
      <c r="B373" s="247"/>
      <c r="C373" s="322"/>
      <c r="D373" s="192"/>
      <c r="E373" s="313"/>
      <c r="F373" s="313"/>
    </row>
    <row r="374" spans="1:7">
      <c r="A374" s="265"/>
      <c r="B374" s="247"/>
      <c r="C374" s="322"/>
      <c r="D374" s="192"/>
      <c r="E374" s="313"/>
      <c r="F374" s="313"/>
    </row>
    <row r="375" spans="1:7">
      <c r="A375" s="265"/>
      <c r="B375" s="247"/>
      <c r="C375" s="322"/>
      <c r="D375" s="192"/>
      <c r="E375" s="313"/>
      <c r="F375" s="313"/>
    </row>
    <row r="376" spans="1:7" ht="16.5" thickBot="1">
      <c r="A376" s="265"/>
      <c r="B376" s="247"/>
      <c r="C376" s="322" t="s">
        <v>1437</v>
      </c>
      <c r="D376" s="192"/>
      <c r="E376" s="315">
        <f>+E339+E348+E363+E372</f>
        <v>110885306.3</v>
      </c>
      <c r="F376" s="353">
        <f>+F372+F363+F339</f>
        <v>86305306.299999997</v>
      </c>
    </row>
    <row r="377" spans="1:7" ht="15.75" thickTop="1">
      <c r="A377" s="265"/>
      <c r="B377" s="292"/>
      <c r="C377" s="14"/>
      <c r="D377" s="192"/>
      <c r="E377" s="14"/>
      <c r="F377" s="14"/>
    </row>
    <row r="378" spans="1:7">
      <c r="A378" s="265"/>
      <c r="B378" s="292"/>
      <c r="C378" s="14"/>
      <c r="D378" s="192"/>
      <c r="E378" s="14"/>
      <c r="F378" s="14"/>
    </row>
    <row r="379" spans="1:7">
      <c r="A379" s="265"/>
      <c r="B379" s="265"/>
      <c r="C379" s="354" t="s">
        <v>1885</v>
      </c>
      <c r="D379" s="266"/>
      <c r="E379" s="289"/>
      <c r="F379" s="289"/>
    </row>
    <row r="380" spans="1:7">
      <c r="A380" s="265"/>
      <c r="B380" s="265"/>
      <c r="D380" s="266"/>
      <c r="E380" s="289"/>
      <c r="F380" s="289"/>
    </row>
    <row r="381" spans="1:7">
      <c r="A381" s="265"/>
      <c r="B381" s="265"/>
      <c r="C381" s="197" t="s">
        <v>1353</v>
      </c>
      <c r="D381" s="266"/>
      <c r="E381" s="289">
        <v>175</v>
      </c>
      <c r="F381" s="355">
        <f>+E381</f>
        <v>175</v>
      </c>
      <c r="G381" s="197" t="s">
        <v>1353</v>
      </c>
    </row>
    <row r="382" spans="1:7">
      <c r="A382" s="265"/>
      <c r="B382" s="265"/>
      <c r="D382" s="266"/>
      <c r="E382" s="289"/>
      <c r="F382" s="289"/>
    </row>
    <row r="383" spans="1:7">
      <c r="A383" s="265"/>
      <c r="B383" s="265"/>
      <c r="D383" s="266"/>
      <c r="E383" s="289"/>
      <c r="F383" s="356">
        <f>+F381+F376+F310</f>
        <v>218985162.32000005</v>
      </c>
    </row>
    <row r="384" spans="1:7">
      <c r="A384" s="265"/>
      <c r="B384" s="265"/>
      <c r="D384" s="266"/>
      <c r="E384" s="289"/>
      <c r="F384" s="289"/>
    </row>
    <row r="385" spans="6:6">
      <c r="F385" s="288">
        <f>+[1]FLUJO!M102</f>
        <v>189236434.06999999</v>
      </c>
    </row>
    <row r="387" spans="6:6">
      <c r="F387" s="288">
        <f>+F383-F385</f>
        <v>29748728.25000006</v>
      </c>
    </row>
  </sheetData>
  <mergeCells count="9">
    <mergeCell ref="I6:N6"/>
    <mergeCell ref="B323:E323"/>
    <mergeCell ref="B324:E324"/>
    <mergeCell ref="B325:E325"/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9"/>
  <sheetViews>
    <sheetView topLeftCell="A298" workbookViewId="0">
      <selection activeCell="C312" activeCellId="28" sqref="C78 C95 C105 C106 C108 C109 C110 C119 C124 C135 C139 C147 C148 C150 C151 C208 C210:C224 C232:C246 C248:C254 C256:C259 C265 C266 C268 C270:C272 C274 C284:C288 C300 C304:C310 C312:C314"/>
    </sheetView>
  </sheetViews>
  <sheetFormatPr baseColWidth="10" defaultRowHeight="15"/>
  <cols>
    <col min="1" max="1" width="11.42578125" style="14"/>
    <col min="2" max="2" width="11.42578125" style="124" customWidth="1"/>
    <col min="3" max="3" width="17.28515625" style="130" bestFit="1" customWidth="1"/>
    <col min="4" max="4" width="47.85546875" style="126" bestFit="1" customWidth="1"/>
    <col min="5" max="5" width="16.140625" style="127" bestFit="1" customWidth="1"/>
    <col min="6" max="6" width="16.140625" style="128" bestFit="1" customWidth="1"/>
    <col min="7" max="7" width="15.5703125" style="128" bestFit="1" customWidth="1"/>
    <col min="8" max="8" width="19.5703125" style="129" bestFit="1" customWidth="1"/>
    <col min="9" max="9" width="9.5703125" style="129" bestFit="1" customWidth="1"/>
    <col min="10" max="16384" width="11.42578125" style="14"/>
  </cols>
  <sheetData>
    <row r="1" spans="2:9">
      <c r="C1" s="125"/>
    </row>
    <row r="2" spans="2:9">
      <c r="C2" s="125"/>
    </row>
    <row r="3" spans="2:9">
      <c r="C3" s="125"/>
    </row>
    <row r="8" spans="2:9" ht="19.5">
      <c r="B8" s="395" t="s">
        <v>1053</v>
      </c>
      <c r="C8" s="395"/>
      <c r="D8" s="395"/>
      <c r="E8" s="395"/>
      <c r="F8" s="395"/>
      <c r="G8" s="395"/>
    </row>
    <row r="9" spans="2:9" ht="17.25">
      <c r="B9" s="396" t="s">
        <v>1054</v>
      </c>
      <c r="C9" s="396"/>
      <c r="D9" s="396"/>
      <c r="E9" s="396"/>
      <c r="F9" s="396"/>
      <c r="G9" s="396"/>
    </row>
    <row r="10" spans="2:9" ht="15.75">
      <c r="B10" s="397" t="s">
        <v>2041</v>
      </c>
      <c r="C10" s="397"/>
      <c r="D10" s="397"/>
      <c r="E10" s="397"/>
      <c r="F10" s="397"/>
      <c r="G10" s="397"/>
    </row>
    <row r="11" spans="2:9" ht="15.75" thickBot="1">
      <c r="B11" s="131"/>
      <c r="C11" s="132"/>
      <c r="D11" s="133"/>
      <c r="E11" s="134"/>
      <c r="F11" s="135"/>
      <c r="G11" s="135"/>
    </row>
    <row r="12" spans="2:9" s="136" customFormat="1" ht="17.25">
      <c r="B12" s="398" t="s">
        <v>1056</v>
      </c>
      <c r="C12" s="399"/>
      <c r="D12" s="399"/>
      <c r="E12" s="399"/>
      <c r="F12" s="399"/>
      <c r="G12" s="400"/>
      <c r="H12" s="137"/>
      <c r="I12" s="137"/>
    </row>
    <row r="13" spans="2:9" s="136" customFormat="1" ht="15.75">
      <c r="B13" s="138"/>
      <c r="C13" s="139"/>
      <c r="D13" s="140"/>
      <c r="E13" s="401" t="s">
        <v>1057</v>
      </c>
      <c r="F13" s="401"/>
      <c r="G13" s="141">
        <v>7930979.5999999996</v>
      </c>
      <c r="H13" s="137"/>
      <c r="I13" s="137"/>
    </row>
    <row r="14" spans="2:9">
      <c r="B14" s="142"/>
      <c r="C14" s="143"/>
      <c r="D14" s="144"/>
      <c r="E14" s="145"/>
      <c r="F14" s="146"/>
      <c r="G14" s="147"/>
    </row>
    <row r="15" spans="2:9" s="136" customFormat="1" ht="15.75">
      <c r="B15" s="148" t="s">
        <v>1058</v>
      </c>
      <c r="C15" s="149" t="s">
        <v>1059</v>
      </c>
      <c r="D15" s="150" t="s">
        <v>1060</v>
      </c>
      <c r="E15" s="151" t="s">
        <v>1061</v>
      </c>
      <c r="F15" s="152" t="s">
        <v>1062</v>
      </c>
      <c r="G15" s="153" t="s">
        <v>1063</v>
      </c>
      <c r="H15" s="137"/>
      <c r="I15" s="137"/>
    </row>
    <row r="16" spans="2:9" s="126" customFormat="1" ht="15" customHeight="1">
      <c r="B16" s="154"/>
      <c r="C16" s="155"/>
      <c r="D16" s="156"/>
      <c r="E16" s="157"/>
      <c r="F16" s="157"/>
      <c r="G16" s="157">
        <f>+G13+E16-F16</f>
        <v>7930979.5999999996</v>
      </c>
      <c r="H16" s="158"/>
      <c r="I16" s="158"/>
    </row>
    <row r="17" spans="2:9" s="126" customFormat="1" ht="15.95" customHeight="1">
      <c r="B17" s="154">
        <v>44470</v>
      </c>
      <c r="C17" s="155">
        <v>469773550</v>
      </c>
      <c r="D17" s="156" t="s">
        <v>1064</v>
      </c>
      <c r="E17" s="157">
        <v>1415420</v>
      </c>
      <c r="F17" s="157"/>
      <c r="G17" s="157">
        <f>+G16+E17-F17</f>
        <v>9346399.5999999996</v>
      </c>
      <c r="H17" s="158"/>
      <c r="I17" s="158"/>
    </row>
    <row r="18" spans="2:9" s="126" customFormat="1" ht="15.95" customHeight="1">
      <c r="B18" s="154">
        <v>44470</v>
      </c>
      <c r="C18" s="155">
        <v>24219</v>
      </c>
      <c r="D18" s="156" t="s">
        <v>1389</v>
      </c>
      <c r="E18" s="157"/>
      <c r="F18" s="157">
        <v>1415420</v>
      </c>
      <c r="G18" s="157">
        <f t="shared" ref="G18:G81" si="0">+G17+E18-F18</f>
        <v>7930979.5999999996</v>
      </c>
      <c r="H18" s="158"/>
      <c r="I18" s="158"/>
    </row>
    <row r="19" spans="2:9" s="126" customFormat="1" ht="15.95" customHeight="1">
      <c r="B19" s="154">
        <v>44473</v>
      </c>
      <c r="C19" s="155">
        <v>19617196</v>
      </c>
      <c r="D19" s="156" t="s">
        <v>1064</v>
      </c>
      <c r="E19" s="157">
        <v>10000000</v>
      </c>
      <c r="F19" s="157"/>
      <c r="G19" s="157">
        <f t="shared" si="0"/>
        <v>17930979.600000001</v>
      </c>
      <c r="H19" s="158"/>
      <c r="I19" s="158"/>
    </row>
    <row r="20" spans="2:9" s="126" customFormat="1" ht="15.95" customHeight="1">
      <c r="B20" s="154">
        <v>44473</v>
      </c>
      <c r="C20" s="155">
        <v>20518311</v>
      </c>
      <c r="D20" s="156" t="s">
        <v>1064</v>
      </c>
      <c r="E20" s="157">
        <v>5000000</v>
      </c>
      <c r="F20" s="157"/>
      <c r="G20" s="157">
        <f t="shared" si="0"/>
        <v>22930979.600000001</v>
      </c>
      <c r="H20" s="158"/>
      <c r="I20" s="158"/>
    </row>
    <row r="21" spans="2:9" s="126" customFormat="1" ht="15.95" customHeight="1">
      <c r="B21" s="154">
        <v>44473</v>
      </c>
      <c r="C21" s="155">
        <v>24220</v>
      </c>
      <c r="D21" s="156" t="s">
        <v>1739</v>
      </c>
      <c r="E21" s="157"/>
      <c r="F21" s="157">
        <v>2680405.5699999998</v>
      </c>
      <c r="G21" s="157">
        <f t="shared" si="0"/>
        <v>20250574.030000001</v>
      </c>
      <c r="H21" s="158"/>
      <c r="I21" s="158"/>
    </row>
    <row r="22" spans="2:9" s="126" customFormat="1" ht="15.95" customHeight="1">
      <c r="B22" s="154">
        <v>44473</v>
      </c>
      <c r="C22" s="155">
        <v>24221</v>
      </c>
      <c r="D22" s="156" t="s">
        <v>1739</v>
      </c>
      <c r="E22" s="157"/>
      <c r="F22" s="157">
        <v>12351042.859999999</v>
      </c>
      <c r="G22" s="157">
        <f t="shared" si="0"/>
        <v>7899531.1700000018</v>
      </c>
      <c r="H22" s="158"/>
      <c r="I22" s="158"/>
    </row>
    <row r="23" spans="2:9" s="126" customFormat="1" ht="15.95" customHeight="1">
      <c r="B23" s="154">
        <v>44476</v>
      </c>
      <c r="C23" s="155">
        <v>469773493</v>
      </c>
      <c r="D23" s="156" t="s">
        <v>1064</v>
      </c>
      <c r="E23" s="157">
        <v>1293310</v>
      </c>
      <c r="F23" s="157"/>
      <c r="G23" s="157">
        <f t="shared" si="0"/>
        <v>9192841.1700000018</v>
      </c>
      <c r="H23" s="158"/>
      <c r="I23" s="158"/>
    </row>
    <row r="24" spans="2:9" s="126" customFormat="1" ht="15.95" customHeight="1">
      <c r="B24" s="154">
        <v>44476</v>
      </c>
      <c r="C24" s="155">
        <v>469773491</v>
      </c>
      <c r="D24" s="156" t="s">
        <v>1064</v>
      </c>
      <c r="E24" s="157">
        <v>815135</v>
      </c>
      <c r="F24" s="157"/>
      <c r="G24" s="157">
        <f t="shared" si="0"/>
        <v>10007976.170000002</v>
      </c>
      <c r="H24" s="158"/>
      <c r="I24" s="158"/>
    </row>
    <row r="25" spans="2:9" s="126" customFormat="1" ht="15.95" customHeight="1">
      <c r="B25" s="154">
        <v>44476</v>
      </c>
      <c r="C25" s="155">
        <v>469773490</v>
      </c>
      <c r="D25" s="156" t="s">
        <v>1064</v>
      </c>
      <c r="E25" s="157">
        <v>374560</v>
      </c>
      <c r="F25" s="157"/>
      <c r="G25" s="157">
        <f t="shared" si="0"/>
        <v>10382536.170000002</v>
      </c>
      <c r="H25" s="158"/>
      <c r="I25" s="158"/>
    </row>
    <row r="26" spans="2:9" s="126" customFormat="1" ht="15.95" customHeight="1">
      <c r="B26" s="154">
        <v>44476</v>
      </c>
      <c r="C26" s="155">
        <v>469773489</v>
      </c>
      <c r="D26" s="156" t="s">
        <v>1064</v>
      </c>
      <c r="E26" s="157">
        <v>740130</v>
      </c>
      <c r="F26" s="157"/>
      <c r="G26" s="157">
        <f t="shared" si="0"/>
        <v>11122666.170000002</v>
      </c>
      <c r="H26" s="158"/>
      <c r="I26" s="158"/>
    </row>
    <row r="27" spans="2:9" s="126" customFormat="1" ht="15.95" customHeight="1">
      <c r="B27" s="154">
        <v>44476</v>
      </c>
      <c r="C27" s="155">
        <v>469773488</v>
      </c>
      <c r="D27" s="156" t="s">
        <v>1064</v>
      </c>
      <c r="E27" s="157">
        <v>512040</v>
      </c>
      <c r="F27" s="157"/>
      <c r="G27" s="157">
        <f t="shared" si="0"/>
        <v>11634706.170000002</v>
      </c>
      <c r="H27" s="158"/>
      <c r="I27" s="158"/>
    </row>
    <row r="28" spans="2:9" s="126" customFormat="1" ht="15.95" customHeight="1">
      <c r="B28" s="154">
        <v>44476</v>
      </c>
      <c r="C28" s="155">
        <v>20517603</v>
      </c>
      <c r="D28" s="156" t="s">
        <v>1064</v>
      </c>
      <c r="E28" s="157">
        <v>1232260</v>
      </c>
      <c r="F28" s="157"/>
      <c r="G28" s="157">
        <f t="shared" si="0"/>
        <v>12866966.170000002</v>
      </c>
      <c r="H28" s="158"/>
      <c r="I28" s="158"/>
    </row>
    <row r="29" spans="2:9" s="126" customFormat="1" ht="15.95" customHeight="1">
      <c r="B29" s="154">
        <v>44476</v>
      </c>
      <c r="C29" s="155">
        <v>20518322</v>
      </c>
      <c r="D29" s="156" t="s">
        <v>1064</v>
      </c>
      <c r="E29" s="157">
        <v>10000000</v>
      </c>
      <c r="F29" s="157"/>
      <c r="G29" s="157">
        <f t="shared" si="0"/>
        <v>22866966.170000002</v>
      </c>
      <c r="H29" s="158"/>
      <c r="I29" s="158"/>
    </row>
    <row r="30" spans="2:9" s="126" customFormat="1" ht="15.95" customHeight="1">
      <c r="B30" s="154">
        <v>44476</v>
      </c>
      <c r="C30" s="155">
        <v>20512323</v>
      </c>
      <c r="D30" s="156" t="s">
        <v>1064</v>
      </c>
      <c r="E30" s="157">
        <v>1415420</v>
      </c>
      <c r="F30" s="157"/>
      <c r="G30" s="157">
        <f t="shared" si="0"/>
        <v>24282386.170000002</v>
      </c>
      <c r="H30" s="158"/>
      <c r="I30" s="158"/>
    </row>
    <row r="31" spans="2:9" s="126" customFormat="1" ht="15.95" customHeight="1">
      <c r="B31" s="154">
        <v>44476</v>
      </c>
      <c r="C31" s="155">
        <v>20518324</v>
      </c>
      <c r="D31" s="156" t="s">
        <v>1064</v>
      </c>
      <c r="E31" s="157">
        <v>1185470</v>
      </c>
      <c r="F31" s="157"/>
      <c r="G31" s="157">
        <f t="shared" si="0"/>
        <v>25467856.170000002</v>
      </c>
      <c r="H31" s="158"/>
      <c r="I31" s="158"/>
    </row>
    <row r="32" spans="2:9" s="126" customFormat="1" ht="15.95" customHeight="1">
      <c r="B32" s="154">
        <v>44476</v>
      </c>
      <c r="C32" s="155">
        <v>24254</v>
      </c>
      <c r="D32" s="156" t="s">
        <v>1935</v>
      </c>
      <c r="E32" s="157"/>
      <c r="F32" s="157">
        <v>11229.81</v>
      </c>
      <c r="G32" s="157">
        <f t="shared" si="0"/>
        <v>25456626.360000003</v>
      </c>
      <c r="H32" s="158"/>
      <c r="I32" s="158"/>
    </row>
    <row r="33" spans="2:9" s="126" customFormat="1" ht="15.95" customHeight="1">
      <c r="B33" s="154">
        <v>44476</v>
      </c>
      <c r="C33" s="155">
        <v>24236</v>
      </c>
      <c r="D33" s="156" t="s">
        <v>1920</v>
      </c>
      <c r="E33" s="157"/>
      <c r="F33" s="157">
        <v>11460.54</v>
      </c>
      <c r="G33" s="157">
        <f t="shared" si="0"/>
        <v>25445165.820000004</v>
      </c>
      <c r="H33" s="158"/>
      <c r="I33" s="158"/>
    </row>
    <row r="34" spans="2:9" s="126" customFormat="1" ht="15.95" customHeight="1">
      <c r="B34" s="154">
        <v>44476</v>
      </c>
      <c r="C34" s="155">
        <v>24246</v>
      </c>
      <c r="D34" s="156" t="s">
        <v>1929</v>
      </c>
      <c r="E34" s="157"/>
      <c r="F34" s="157">
        <v>11460.54</v>
      </c>
      <c r="G34" s="157">
        <f t="shared" si="0"/>
        <v>25433705.280000005</v>
      </c>
      <c r="H34" s="158"/>
      <c r="I34" s="158"/>
    </row>
    <row r="35" spans="2:9" s="126" customFormat="1" ht="15.95" customHeight="1">
      <c r="B35" s="154">
        <v>44476</v>
      </c>
      <c r="C35" s="155">
        <v>24282</v>
      </c>
      <c r="D35" s="156" t="s">
        <v>1960</v>
      </c>
      <c r="E35" s="157"/>
      <c r="F35" s="157">
        <v>11460.54</v>
      </c>
      <c r="G35" s="157">
        <f t="shared" si="0"/>
        <v>25422244.740000006</v>
      </c>
      <c r="H35" s="158"/>
      <c r="I35" s="158"/>
    </row>
    <row r="36" spans="2:9" s="126" customFormat="1" ht="15.95" customHeight="1">
      <c r="B36" s="154">
        <v>44476</v>
      </c>
      <c r="C36" s="155">
        <v>24271</v>
      </c>
      <c r="D36" s="156" t="s">
        <v>1950</v>
      </c>
      <c r="E36" s="157"/>
      <c r="F36" s="157">
        <v>12691.37</v>
      </c>
      <c r="G36" s="157">
        <f t="shared" si="0"/>
        <v>25409553.370000005</v>
      </c>
      <c r="H36" s="158"/>
      <c r="I36" s="158"/>
    </row>
    <row r="37" spans="2:9" s="126" customFormat="1" ht="15.95" customHeight="1">
      <c r="B37" s="154">
        <v>44476</v>
      </c>
      <c r="C37" s="155">
        <v>24226</v>
      </c>
      <c r="D37" s="156" t="s">
        <v>1912</v>
      </c>
      <c r="E37" s="157"/>
      <c r="F37" s="157">
        <v>15864.21</v>
      </c>
      <c r="G37" s="157">
        <f t="shared" si="0"/>
        <v>25393689.160000004</v>
      </c>
      <c r="H37" s="158"/>
      <c r="I37" s="158"/>
    </row>
    <row r="38" spans="2:9" s="126" customFormat="1" ht="15.95" customHeight="1">
      <c r="B38" s="154">
        <v>44476</v>
      </c>
      <c r="C38" s="155">
        <v>24243</v>
      </c>
      <c r="D38" s="156" t="s">
        <v>1926</v>
      </c>
      <c r="E38" s="157"/>
      <c r="F38" s="157">
        <v>18844.02</v>
      </c>
      <c r="G38" s="157">
        <f t="shared" si="0"/>
        <v>25374845.140000004</v>
      </c>
      <c r="H38" s="158"/>
      <c r="I38" s="158"/>
    </row>
    <row r="39" spans="2:9" s="126" customFormat="1" ht="15.95" customHeight="1">
      <c r="B39" s="154">
        <v>44476</v>
      </c>
      <c r="C39" s="155">
        <v>24253</v>
      </c>
      <c r="D39" s="156" t="s">
        <v>1934</v>
      </c>
      <c r="E39" s="157"/>
      <c r="F39" s="157">
        <v>21344.02</v>
      </c>
      <c r="G39" s="157">
        <f t="shared" si="0"/>
        <v>25353501.120000005</v>
      </c>
      <c r="H39" s="158"/>
      <c r="I39" s="158"/>
    </row>
    <row r="40" spans="2:9" s="126" customFormat="1" ht="15.95" customHeight="1">
      <c r="B40" s="154">
        <v>44476</v>
      </c>
      <c r="C40" s="159">
        <v>24278</v>
      </c>
      <c r="D40" s="156" t="s">
        <v>1956</v>
      </c>
      <c r="E40" s="157"/>
      <c r="F40" s="157">
        <v>23478.43</v>
      </c>
      <c r="G40" s="157">
        <f t="shared" si="0"/>
        <v>25330022.690000005</v>
      </c>
      <c r="H40" s="158"/>
      <c r="I40" s="158"/>
    </row>
    <row r="41" spans="2:9" s="126" customFormat="1" ht="15.95" customHeight="1">
      <c r="B41" s="154">
        <v>44476</v>
      </c>
      <c r="C41" s="159">
        <v>24256</v>
      </c>
      <c r="D41" s="156" t="s">
        <v>1936</v>
      </c>
      <c r="E41" s="157"/>
      <c r="F41" s="157">
        <v>23740.97</v>
      </c>
      <c r="G41" s="157">
        <f t="shared" si="0"/>
        <v>25306281.720000006</v>
      </c>
      <c r="H41" s="158"/>
      <c r="I41" s="158"/>
    </row>
    <row r="42" spans="2:9" s="126" customFormat="1" ht="15.95" customHeight="1">
      <c r="B42" s="154">
        <v>44476</v>
      </c>
      <c r="C42" s="159">
        <v>24261</v>
      </c>
      <c r="D42" s="156" t="s">
        <v>1941</v>
      </c>
      <c r="E42" s="157"/>
      <c r="F42" s="157">
        <v>24873.1</v>
      </c>
      <c r="G42" s="157">
        <f t="shared" si="0"/>
        <v>25281408.620000005</v>
      </c>
      <c r="H42" s="158"/>
      <c r="I42" s="158"/>
    </row>
    <row r="43" spans="2:9" s="126" customFormat="1" ht="15.95" customHeight="1">
      <c r="B43" s="154">
        <v>44476</v>
      </c>
      <c r="C43" s="155">
        <v>24285</v>
      </c>
      <c r="D43" s="156" t="s">
        <v>1963</v>
      </c>
      <c r="E43" s="157"/>
      <c r="F43" s="157">
        <v>25255.34</v>
      </c>
      <c r="G43" s="157">
        <f t="shared" si="0"/>
        <v>25256153.280000005</v>
      </c>
      <c r="H43" s="158"/>
      <c r="I43" s="158"/>
    </row>
    <row r="44" spans="2:9" s="126" customFormat="1" ht="15.95" customHeight="1">
      <c r="B44" s="154">
        <v>44476</v>
      </c>
      <c r="C44" s="159">
        <v>24244</v>
      </c>
      <c r="D44" s="156" t="s">
        <v>1927</v>
      </c>
      <c r="E44" s="157"/>
      <c r="F44" s="157">
        <v>32780.33</v>
      </c>
      <c r="G44" s="157">
        <f t="shared" si="0"/>
        <v>25223372.950000007</v>
      </c>
      <c r="H44" s="158"/>
      <c r="I44" s="158"/>
    </row>
    <row r="45" spans="2:9" s="126" customFormat="1" ht="15.95" customHeight="1">
      <c r="B45" s="154">
        <v>44476</v>
      </c>
      <c r="C45" s="159">
        <v>24235</v>
      </c>
      <c r="D45" s="156" t="s">
        <v>1919</v>
      </c>
      <c r="E45" s="157"/>
      <c r="F45" s="157">
        <v>33651.360000000001</v>
      </c>
      <c r="G45" s="157">
        <f t="shared" si="0"/>
        <v>25189721.590000007</v>
      </c>
      <c r="H45" s="158"/>
      <c r="I45" s="158"/>
    </row>
    <row r="46" spans="2:9" s="126" customFormat="1" ht="15.95" customHeight="1">
      <c r="B46" s="154">
        <v>44476</v>
      </c>
      <c r="C46" s="159">
        <v>24272</v>
      </c>
      <c r="D46" s="156" t="s">
        <v>1951</v>
      </c>
      <c r="E46" s="157"/>
      <c r="F46" s="157">
        <v>35573.370000000003</v>
      </c>
      <c r="G46" s="157">
        <f t="shared" si="0"/>
        <v>25154148.220000006</v>
      </c>
      <c r="H46" s="158"/>
      <c r="I46" s="158"/>
    </row>
    <row r="47" spans="2:9" s="126" customFormat="1" ht="15.95" customHeight="1">
      <c r="B47" s="154">
        <v>44476</v>
      </c>
      <c r="C47" s="159">
        <v>24340</v>
      </c>
      <c r="D47" s="156" t="s">
        <v>1996</v>
      </c>
      <c r="E47" s="157"/>
      <c r="F47" s="157">
        <v>36548.22</v>
      </c>
      <c r="G47" s="157">
        <f t="shared" si="0"/>
        <v>25117600.000000007</v>
      </c>
      <c r="H47" s="158"/>
      <c r="I47" s="158"/>
    </row>
    <row r="48" spans="2:9" s="126" customFormat="1" ht="15.95" customHeight="1">
      <c r="B48" s="154">
        <v>44476</v>
      </c>
      <c r="C48" s="159">
        <v>24286</v>
      </c>
      <c r="D48" s="156" t="s">
        <v>1964</v>
      </c>
      <c r="E48" s="157"/>
      <c r="F48" s="157">
        <v>37565.480000000003</v>
      </c>
      <c r="G48" s="157">
        <f t="shared" si="0"/>
        <v>25080034.520000007</v>
      </c>
      <c r="H48" s="158"/>
      <c r="I48" s="158"/>
    </row>
    <row r="49" spans="2:9" s="126" customFormat="1" ht="15.95" customHeight="1">
      <c r="B49" s="154">
        <v>44476</v>
      </c>
      <c r="C49" s="159">
        <v>24265</v>
      </c>
      <c r="D49" s="156" t="s">
        <v>1944</v>
      </c>
      <c r="E49" s="157"/>
      <c r="F49" s="157">
        <v>38844.019999999997</v>
      </c>
      <c r="G49" s="157">
        <f t="shared" si="0"/>
        <v>25041190.500000007</v>
      </c>
      <c r="H49" s="158"/>
      <c r="I49" s="158"/>
    </row>
    <row r="50" spans="2:9" s="126" customFormat="1" ht="15.95" customHeight="1">
      <c r="B50" s="154">
        <v>44476</v>
      </c>
      <c r="C50" s="159">
        <v>24225</v>
      </c>
      <c r="D50" s="156" t="s">
        <v>1911</v>
      </c>
      <c r="E50" s="157"/>
      <c r="F50" s="157">
        <v>40611.17</v>
      </c>
      <c r="G50" s="157">
        <f t="shared" si="0"/>
        <v>25000579.330000006</v>
      </c>
      <c r="H50" s="158"/>
      <c r="I50" s="158"/>
    </row>
    <row r="51" spans="2:9" s="126" customFormat="1" ht="15.95" customHeight="1">
      <c r="B51" s="154">
        <v>44476</v>
      </c>
      <c r="C51" s="159">
        <v>24239</v>
      </c>
      <c r="D51" s="156" t="s">
        <v>1922</v>
      </c>
      <c r="E51" s="157"/>
      <c r="F51" s="157">
        <v>43262.57</v>
      </c>
      <c r="G51" s="157">
        <f t="shared" si="0"/>
        <v>24957316.760000005</v>
      </c>
      <c r="H51" s="158"/>
      <c r="I51" s="158"/>
    </row>
    <row r="52" spans="2:9" s="126" customFormat="1" ht="15.95" customHeight="1">
      <c r="B52" s="154">
        <v>44476</v>
      </c>
      <c r="C52" s="159">
        <v>24266</v>
      </c>
      <c r="D52" s="156" t="s">
        <v>1945</v>
      </c>
      <c r="E52" s="157"/>
      <c r="F52" s="157">
        <v>52177.35</v>
      </c>
      <c r="G52" s="157">
        <f t="shared" si="0"/>
        <v>24905139.410000004</v>
      </c>
      <c r="H52" s="158"/>
      <c r="I52" s="158"/>
    </row>
    <row r="53" spans="2:9" s="126" customFormat="1" ht="15.95" customHeight="1">
      <c r="B53" s="154">
        <v>44476</v>
      </c>
      <c r="C53" s="159">
        <v>24288</v>
      </c>
      <c r="D53" s="156" t="s">
        <v>1966</v>
      </c>
      <c r="E53" s="157"/>
      <c r="F53" s="157">
        <v>52177.35</v>
      </c>
      <c r="G53" s="157">
        <f t="shared" si="0"/>
        <v>24852962.060000002</v>
      </c>
      <c r="H53" s="158"/>
      <c r="I53" s="158"/>
    </row>
    <row r="54" spans="2:9" s="126" customFormat="1" ht="15.95" customHeight="1">
      <c r="B54" s="154">
        <v>44476</v>
      </c>
      <c r="C54" s="159">
        <v>24343</v>
      </c>
      <c r="D54" s="156" t="s">
        <v>1998</v>
      </c>
      <c r="E54" s="157"/>
      <c r="F54" s="157">
        <v>52177.35</v>
      </c>
      <c r="G54" s="157">
        <f t="shared" si="0"/>
        <v>24800784.710000001</v>
      </c>
      <c r="H54" s="158"/>
      <c r="I54" s="158"/>
    </row>
    <row r="55" spans="2:9" s="126" customFormat="1" ht="15.95" customHeight="1">
      <c r="B55" s="154">
        <v>44476</v>
      </c>
      <c r="C55" s="159">
        <v>24263</v>
      </c>
      <c r="D55" s="156" t="s">
        <v>1943</v>
      </c>
      <c r="E55" s="157"/>
      <c r="F55" s="157">
        <v>59358.68</v>
      </c>
      <c r="G55" s="157">
        <f t="shared" si="0"/>
        <v>24741426.030000001</v>
      </c>
      <c r="H55" s="158"/>
      <c r="I55" s="158"/>
    </row>
    <row r="56" spans="2:9" s="126" customFormat="1" ht="15.95" customHeight="1">
      <c r="B56" s="154">
        <v>44476</v>
      </c>
      <c r="C56" s="159">
        <v>24231</v>
      </c>
      <c r="D56" s="156" t="s">
        <v>1915</v>
      </c>
      <c r="E56" s="157"/>
      <c r="F56" s="157">
        <v>66842.64</v>
      </c>
      <c r="G56" s="157">
        <f t="shared" si="0"/>
        <v>24674583.390000001</v>
      </c>
      <c r="H56" s="158"/>
      <c r="I56" s="158"/>
    </row>
    <row r="57" spans="2:9" s="126" customFormat="1" ht="15.95" customHeight="1">
      <c r="B57" s="154">
        <v>44476</v>
      </c>
      <c r="C57" s="159">
        <v>24249</v>
      </c>
      <c r="D57" s="156" t="s">
        <v>1931</v>
      </c>
      <c r="E57" s="157"/>
      <c r="F57" s="157">
        <v>66842.64</v>
      </c>
      <c r="G57" s="157">
        <f t="shared" si="0"/>
        <v>24607740.75</v>
      </c>
      <c r="H57" s="158"/>
      <c r="I57" s="158"/>
    </row>
    <row r="58" spans="2:9" s="126" customFormat="1" ht="15.95" customHeight="1">
      <c r="B58" s="154">
        <v>44476</v>
      </c>
      <c r="C58" s="155">
        <v>24233</v>
      </c>
      <c r="D58" s="156" t="s">
        <v>1917</v>
      </c>
      <c r="E58" s="157"/>
      <c r="F58" s="157">
        <v>67305.03</v>
      </c>
      <c r="G58" s="157">
        <f t="shared" si="0"/>
        <v>24540435.719999999</v>
      </c>
      <c r="H58" s="158"/>
      <c r="I58" s="158"/>
    </row>
    <row r="59" spans="2:9" s="126" customFormat="1" ht="15.95" customHeight="1">
      <c r="B59" s="154">
        <v>44476</v>
      </c>
      <c r="C59" s="155">
        <v>24250</v>
      </c>
      <c r="D59" s="156" t="s">
        <v>1932</v>
      </c>
      <c r="E59" s="157"/>
      <c r="F59" s="157">
        <v>69587.759999999995</v>
      </c>
      <c r="G59" s="157">
        <f t="shared" si="0"/>
        <v>24470847.959999997</v>
      </c>
      <c r="H59" s="158"/>
      <c r="I59" s="158"/>
    </row>
    <row r="60" spans="2:9" s="126" customFormat="1" ht="15.95" customHeight="1">
      <c r="B60" s="154">
        <v>44476</v>
      </c>
      <c r="C60" s="155">
        <v>24290</v>
      </c>
      <c r="D60" s="156" t="s">
        <v>1968</v>
      </c>
      <c r="E60" s="157"/>
      <c r="F60" s="157">
        <v>78478.429999999993</v>
      </c>
      <c r="G60" s="157">
        <f t="shared" si="0"/>
        <v>24392369.529999997</v>
      </c>
      <c r="H60" s="158"/>
      <c r="I60" s="158"/>
    </row>
    <row r="61" spans="2:9" s="126" customFormat="1" ht="15.95" customHeight="1">
      <c r="B61" s="154">
        <v>44476</v>
      </c>
      <c r="C61" s="155">
        <v>24264</v>
      </c>
      <c r="D61" s="156" t="s">
        <v>1240</v>
      </c>
      <c r="E61" s="157"/>
      <c r="F61" s="157">
        <v>79200</v>
      </c>
      <c r="G61" s="157">
        <f t="shared" si="0"/>
        <v>24313169.529999997</v>
      </c>
      <c r="H61" s="158"/>
      <c r="I61" s="158"/>
    </row>
    <row r="62" spans="2:9" s="126" customFormat="1" ht="15.95" customHeight="1">
      <c r="B62" s="154">
        <v>44476</v>
      </c>
      <c r="C62" s="155">
        <v>24252</v>
      </c>
      <c r="D62" s="156" t="s">
        <v>1933</v>
      </c>
      <c r="E62" s="157"/>
      <c r="F62" s="157">
        <v>82042.77</v>
      </c>
      <c r="G62" s="157">
        <f t="shared" si="0"/>
        <v>24231126.759999998</v>
      </c>
      <c r="H62" s="158"/>
      <c r="I62" s="158"/>
    </row>
    <row r="63" spans="2:9" s="126" customFormat="1" ht="15.95" customHeight="1">
      <c r="B63" s="154">
        <v>44476</v>
      </c>
      <c r="C63" s="155">
        <v>24267</v>
      </c>
      <c r="D63" s="156" t="s">
        <v>1946</v>
      </c>
      <c r="E63" s="157"/>
      <c r="F63" s="157">
        <v>83458.7</v>
      </c>
      <c r="G63" s="157">
        <f t="shared" si="0"/>
        <v>24147668.059999999</v>
      </c>
      <c r="H63" s="158"/>
      <c r="I63" s="158"/>
    </row>
    <row r="64" spans="2:9" s="126" customFormat="1" ht="15.95" customHeight="1">
      <c r="B64" s="154">
        <v>44476</v>
      </c>
      <c r="C64" s="155">
        <v>24248</v>
      </c>
      <c r="D64" s="156" t="s">
        <v>1930</v>
      </c>
      <c r="E64" s="157"/>
      <c r="F64" s="157">
        <v>83651.360000000001</v>
      </c>
      <c r="G64" s="157">
        <f t="shared" si="0"/>
        <v>24064016.699999999</v>
      </c>
      <c r="H64" s="158"/>
      <c r="I64" s="158"/>
    </row>
    <row r="65" spans="2:9" s="126" customFormat="1" ht="15.95" customHeight="1">
      <c r="B65" s="154">
        <v>44476</v>
      </c>
      <c r="C65" s="155">
        <v>24260</v>
      </c>
      <c r="D65" s="156" t="s">
        <v>1940</v>
      </c>
      <c r="E65" s="157"/>
      <c r="F65" s="157">
        <v>85958.7</v>
      </c>
      <c r="G65" s="157">
        <f t="shared" si="0"/>
        <v>23978058</v>
      </c>
      <c r="H65" s="158"/>
      <c r="I65" s="158"/>
    </row>
    <row r="66" spans="2:9" s="126" customFormat="1" ht="15.95" customHeight="1">
      <c r="B66" s="154">
        <v>44476</v>
      </c>
      <c r="C66" s="155">
        <v>24240</v>
      </c>
      <c r="D66" s="156" t="s">
        <v>1923</v>
      </c>
      <c r="E66" s="157"/>
      <c r="F66" s="157">
        <v>86812.82</v>
      </c>
      <c r="G66" s="157">
        <f t="shared" si="0"/>
        <v>23891245.18</v>
      </c>
      <c r="H66" s="158"/>
      <c r="I66" s="158"/>
    </row>
    <row r="67" spans="2:9" s="126" customFormat="1" ht="15.95" customHeight="1">
      <c r="B67" s="154">
        <v>44476</v>
      </c>
      <c r="C67" s="155">
        <v>24279</v>
      </c>
      <c r="D67" s="156" t="s">
        <v>1957</v>
      </c>
      <c r="E67" s="157"/>
      <c r="F67" s="157">
        <v>88842.64</v>
      </c>
      <c r="G67" s="157">
        <f t="shared" si="0"/>
        <v>23802402.539999999</v>
      </c>
      <c r="H67" s="158"/>
      <c r="I67" s="158"/>
    </row>
    <row r="68" spans="2:9" s="126" customFormat="1" ht="15.95" customHeight="1">
      <c r="B68" s="154">
        <v>44476</v>
      </c>
      <c r="C68" s="159">
        <v>24258</v>
      </c>
      <c r="D68" s="156" t="s">
        <v>1938</v>
      </c>
      <c r="E68" s="157"/>
      <c r="F68" s="157">
        <v>90916.5</v>
      </c>
      <c r="G68" s="157">
        <f t="shared" si="0"/>
        <v>23711486.039999999</v>
      </c>
      <c r="H68" s="158"/>
      <c r="I68" s="158"/>
    </row>
    <row r="69" spans="2:9" s="126" customFormat="1" ht="15.95" customHeight="1">
      <c r="B69" s="154">
        <v>44476</v>
      </c>
      <c r="C69" s="159">
        <v>24224</v>
      </c>
      <c r="D69" s="156" t="s">
        <v>1910</v>
      </c>
      <c r="E69" s="157"/>
      <c r="F69" s="157">
        <v>93458.7</v>
      </c>
      <c r="G69" s="157">
        <f t="shared" si="0"/>
        <v>23618027.34</v>
      </c>
      <c r="H69" s="158"/>
      <c r="I69" s="158"/>
    </row>
    <row r="70" spans="2:9" s="126" customFormat="1" ht="15.95" customHeight="1">
      <c r="B70" s="154">
        <v>44476</v>
      </c>
      <c r="C70" s="155">
        <v>24270</v>
      </c>
      <c r="D70" s="156" t="s">
        <v>1949</v>
      </c>
      <c r="E70" s="157"/>
      <c r="F70" s="157">
        <v>95125.37</v>
      </c>
      <c r="G70" s="157">
        <f t="shared" si="0"/>
        <v>23522901.969999999</v>
      </c>
      <c r="H70" s="158"/>
      <c r="I70" s="158"/>
    </row>
    <row r="71" spans="2:9" s="126" customFormat="1" ht="15.95" customHeight="1">
      <c r="B71" s="154">
        <v>44476</v>
      </c>
      <c r="C71" s="155">
        <v>24283</v>
      </c>
      <c r="D71" s="156" t="s">
        <v>1961</v>
      </c>
      <c r="E71" s="157"/>
      <c r="F71" s="157">
        <v>95958.7</v>
      </c>
      <c r="G71" s="157">
        <f t="shared" si="0"/>
        <v>23426943.27</v>
      </c>
      <c r="H71" s="158"/>
      <c r="I71" s="158"/>
    </row>
    <row r="72" spans="2:9" s="126" customFormat="1" ht="15.95" customHeight="1">
      <c r="B72" s="154">
        <v>44476</v>
      </c>
      <c r="C72" s="155">
        <v>24245</v>
      </c>
      <c r="D72" s="156" t="s">
        <v>1928</v>
      </c>
      <c r="E72" s="157"/>
      <c r="F72" s="157">
        <v>102443.32</v>
      </c>
      <c r="G72" s="157">
        <f t="shared" si="0"/>
        <v>23324499.949999999</v>
      </c>
      <c r="H72" s="158"/>
      <c r="I72" s="158"/>
    </row>
    <row r="73" spans="2:9" s="126" customFormat="1" ht="15.95" customHeight="1">
      <c r="B73" s="154">
        <v>44476</v>
      </c>
      <c r="C73" s="155">
        <v>24269</v>
      </c>
      <c r="D73" s="156" t="s">
        <v>1948</v>
      </c>
      <c r="E73" s="157"/>
      <c r="F73" s="157">
        <v>103016.5</v>
      </c>
      <c r="G73" s="157">
        <f t="shared" si="0"/>
        <v>23221483.449999999</v>
      </c>
      <c r="H73" s="158"/>
      <c r="I73" s="158"/>
    </row>
    <row r="74" spans="2:9" s="126" customFormat="1" ht="15.95" customHeight="1">
      <c r="B74" s="154">
        <v>44476</v>
      </c>
      <c r="C74" s="159">
        <v>24259</v>
      </c>
      <c r="D74" s="156" t="s">
        <v>1939</v>
      </c>
      <c r="E74" s="157"/>
      <c r="F74" s="157">
        <v>107456.85</v>
      </c>
      <c r="G74" s="157">
        <f t="shared" si="0"/>
        <v>23114026.599999998</v>
      </c>
      <c r="H74" s="158"/>
      <c r="I74" s="158"/>
    </row>
    <row r="75" spans="2:9" s="126" customFormat="1" ht="15.95" customHeight="1">
      <c r="B75" s="154">
        <v>44476</v>
      </c>
      <c r="C75" s="159">
        <v>24262</v>
      </c>
      <c r="D75" s="156" t="s">
        <v>1942</v>
      </c>
      <c r="E75" s="157"/>
      <c r="F75" s="157">
        <v>107565.56</v>
      </c>
      <c r="G75" s="157">
        <f t="shared" si="0"/>
        <v>23006461.039999999</v>
      </c>
      <c r="H75" s="158"/>
      <c r="I75" s="158"/>
    </row>
    <row r="76" spans="2:9" s="126" customFormat="1" ht="15.95" customHeight="1">
      <c r="B76" s="154">
        <v>44476</v>
      </c>
      <c r="C76" s="159">
        <v>24289</v>
      </c>
      <c r="D76" s="156" t="s">
        <v>1967</v>
      </c>
      <c r="E76" s="157"/>
      <c r="F76" s="157">
        <v>117717.64</v>
      </c>
      <c r="G76" s="157">
        <f t="shared" si="0"/>
        <v>22888743.399999999</v>
      </c>
      <c r="H76" s="158"/>
      <c r="I76" s="158"/>
    </row>
    <row r="77" spans="2:9" s="126" customFormat="1" ht="15.95" customHeight="1">
      <c r="B77" s="154">
        <v>44476</v>
      </c>
      <c r="C77" s="159">
        <v>24257</v>
      </c>
      <c r="D77" s="156" t="s">
        <v>1937</v>
      </c>
      <c r="E77" s="157"/>
      <c r="F77" s="157">
        <v>122486.16</v>
      </c>
      <c r="G77" s="157">
        <f t="shared" si="0"/>
        <v>22766257.239999998</v>
      </c>
      <c r="H77" s="158"/>
      <c r="I77" s="158"/>
    </row>
    <row r="78" spans="2:9" s="126" customFormat="1" ht="15.95" customHeight="1">
      <c r="B78" s="154">
        <v>44476</v>
      </c>
      <c r="C78" s="159">
        <v>24151</v>
      </c>
      <c r="D78" s="327" t="s">
        <v>1112</v>
      </c>
      <c r="E78" s="157"/>
      <c r="F78" s="157">
        <v>127517.95</v>
      </c>
      <c r="G78" s="157">
        <f t="shared" si="0"/>
        <v>22638739.289999999</v>
      </c>
      <c r="H78" s="158"/>
      <c r="I78" s="158"/>
    </row>
    <row r="79" spans="2:9" s="126" customFormat="1" ht="15.95" customHeight="1">
      <c r="B79" s="154">
        <v>44476</v>
      </c>
      <c r="C79" s="159">
        <v>24234</v>
      </c>
      <c r="D79" s="156" t="s">
        <v>1918</v>
      </c>
      <c r="E79" s="157"/>
      <c r="F79" s="157">
        <v>133645.94</v>
      </c>
      <c r="G79" s="157">
        <f t="shared" si="0"/>
        <v>22505093.349999998</v>
      </c>
      <c r="H79" s="158"/>
      <c r="I79" s="158"/>
    </row>
    <row r="80" spans="2:9" s="126" customFormat="1" ht="15.95" customHeight="1">
      <c r="B80" s="154">
        <v>44476</v>
      </c>
      <c r="C80" s="159">
        <v>24232</v>
      </c>
      <c r="D80" s="156" t="s">
        <v>1916</v>
      </c>
      <c r="E80" s="157"/>
      <c r="F80" s="157">
        <v>134037.75</v>
      </c>
      <c r="G80" s="157">
        <f t="shared" si="0"/>
        <v>22371055.599999998</v>
      </c>
      <c r="H80" s="158"/>
      <c r="I80" s="158"/>
    </row>
    <row r="81" spans="2:9" s="126" customFormat="1" ht="15.95" customHeight="1">
      <c r="B81" s="154">
        <v>44476</v>
      </c>
      <c r="C81" s="159">
        <v>24280</v>
      </c>
      <c r="D81" s="156" t="s">
        <v>1958</v>
      </c>
      <c r="E81" s="157"/>
      <c r="F81" s="157">
        <v>138917.85999999999</v>
      </c>
      <c r="G81" s="157">
        <f t="shared" si="0"/>
        <v>22232137.739999998</v>
      </c>
      <c r="H81" s="158"/>
      <c r="I81" s="158"/>
    </row>
    <row r="82" spans="2:9" s="126" customFormat="1" ht="15.95" customHeight="1">
      <c r="B82" s="154">
        <v>44476</v>
      </c>
      <c r="C82" s="159">
        <v>24276</v>
      </c>
      <c r="D82" s="156" t="s">
        <v>1955</v>
      </c>
      <c r="E82" s="157"/>
      <c r="F82" s="157">
        <v>142450</v>
      </c>
      <c r="G82" s="157">
        <f t="shared" ref="G82:G145" si="1">+G81+E82-F82</f>
        <v>22089687.739999998</v>
      </c>
      <c r="H82" s="158"/>
      <c r="I82" s="158"/>
    </row>
    <row r="83" spans="2:9" s="126" customFormat="1" ht="15.95" customHeight="1">
      <c r="B83" s="154">
        <v>44476</v>
      </c>
      <c r="C83" s="159">
        <v>24274</v>
      </c>
      <c r="D83" s="156" t="s">
        <v>1953</v>
      </c>
      <c r="E83" s="157"/>
      <c r="F83" s="157">
        <v>154000</v>
      </c>
      <c r="G83" s="157">
        <f t="shared" si="1"/>
        <v>21935687.739999998</v>
      </c>
      <c r="H83" s="158"/>
      <c r="I83" s="158"/>
    </row>
    <row r="84" spans="2:9" s="126" customFormat="1" ht="15.95" customHeight="1">
      <c r="B84" s="154">
        <v>44476</v>
      </c>
      <c r="C84" s="159">
        <v>24284</v>
      </c>
      <c r="D84" s="156" t="s">
        <v>1962</v>
      </c>
      <c r="E84" s="157"/>
      <c r="F84" s="157">
        <v>154206.85</v>
      </c>
      <c r="G84" s="157">
        <f t="shared" si="1"/>
        <v>21781480.889999997</v>
      </c>
      <c r="H84" s="158"/>
      <c r="I84" s="158"/>
    </row>
    <row r="85" spans="2:9" s="126" customFormat="1" ht="15.95" customHeight="1">
      <c r="B85" s="154">
        <v>44476</v>
      </c>
      <c r="C85" s="159">
        <v>24242</v>
      </c>
      <c r="D85" s="156" t="s">
        <v>1925</v>
      </c>
      <c r="E85" s="157"/>
      <c r="F85" s="157">
        <v>156532.99</v>
      </c>
      <c r="G85" s="157">
        <f t="shared" si="1"/>
        <v>21624947.899999999</v>
      </c>
      <c r="H85" s="158"/>
      <c r="I85" s="158"/>
    </row>
    <row r="86" spans="2:9" s="126" customFormat="1" ht="15.95" customHeight="1">
      <c r="B86" s="154">
        <v>44476</v>
      </c>
      <c r="C86" s="159">
        <v>24268</v>
      </c>
      <c r="D86" s="156" t="s">
        <v>1947</v>
      </c>
      <c r="E86" s="157"/>
      <c r="F86" s="157">
        <v>177053.3</v>
      </c>
      <c r="G86" s="157">
        <f t="shared" si="1"/>
        <v>21447894.599999998</v>
      </c>
      <c r="H86" s="158"/>
      <c r="I86" s="158"/>
    </row>
    <row r="87" spans="2:9" s="126" customFormat="1" ht="15.95" customHeight="1">
      <c r="B87" s="154">
        <v>44476</v>
      </c>
      <c r="C87" s="159">
        <v>24277</v>
      </c>
      <c r="D87" s="156" t="s">
        <v>1214</v>
      </c>
      <c r="E87" s="157"/>
      <c r="F87" s="157">
        <v>183750</v>
      </c>
      <c r="G87" s="157">
        <f t="shared" si="1"/>
        <v>21264144.599999998</v>
      </c>
      <c r="H87" s="158"/>
      <c r="I87" s="158"/>
    </row>
    <row r="88" spans="2:9" s="126" customFormat="1" ht="15.95" customHeight="1">
      <c r="B88" s="154">
        <v>44476</v>
      </c>
      <c r="C88" s="159">
        <v>24223</v>
      </c>
      <c r="D88" s="156" t="s">
        <v>1909</v>
      </c>
      <c r="E88" s="157"/>
      <c r="F88" s="157">
        <v>191147.32</v>
      </c>
      <c r="G88" s="157">
        <f t="shared" si="1"/>
        <v>21072997.279999997</v>
      </c>
      <c r="H88" s="158"/>
      <c r="I88" s="158"/>
    </row>
    <row r="89" spans="2:9" s="126" customFormat="1" ht="15.95" customHeight="1">
      <c r="B89" s="154">
        <v>44476</v>
      </c>
      <c r="C89" s="159">
        <v>24241</v>
      </c>
      <c r="D89" s="156" t="s">
        <v>1924</v>
      </c>
      <c r="E89" s="157"/>
      <c r="F89" s="157">
        <v>199517.77</v>
      </c>
      <c r="G89" s="157">
        <f t="shared" si="1"/>
        <v>20873479.509999998</v>
      </c>
      <c r="H89" s="158"/>
      <c r="I89" s="158"/>
    </row>
    <row r="90" spans="2:9" s="126" customFormat="1" ht="15.95" customHeight="1">
      <c r="B90" s="154">
        <v>44476</v>
      </c>
      <c r="C90" s="159">
        <v>24281</v>
      </c>
      <c r="D90" s="156" t="s">
        <v>1959</v>
      </c>
      <c r="E90" s="157"/>
      <c r="F90" s="157">
        <v>209275.81</v>
      </c>
      <c r="G90" s="157">
        <f t="shared" si="1"/>
        <v>20664203.699999999</v>
      </c>
      <c r="H90" s="158"/>
      <c r="I90" s="158"/>
    </row>
    <row r="91" spans="2:9" s="126" customFormat="1" ht="15.95" customHeight="1">
      <c r="B91" s="154">
        <v>44476</v>
      </c>
      <c r="C91" s="159">
        <v>24237</v>
      </c>
      <c r="D91" s="156" t="s">
        <v>1921</v>
      </c>
      <c r="E91" s="157"/>
      <c r="F91" s="157">
        <v>224733.68</v>
      </c>
      <c r="G91" s="157">
        <f t="shared" si="1"/>
        <v>20439470.02</v>
      </c>
      <c r="H91" s="158"/>
      <c r="I91" s="158"/>
    </row>
    <row r="92" spans="2:9" s="126" customFormat="1" ht="15.95" customHeight="1">
      <c r="B92" s="154">
        <v>44476</v>
      </c>
      <c r="C92" s="159">
        <v>24218</v>
      </c>
      <c r="D92" s="156" t="s">
        <v>1908</v>
      </c>
      <c r="E92" s="157"/>
      <c r="F92" s="157">
        <v>243141.58</v>
      </c>
      <c r="G92" s="157">
        <f t="shared" si="1"/>
        <v>20196328.440000001</v>
      </c>
      <c r="H92" s="158"/>
      <c r="I92" s="158"/>
    </row>
    <row r="93" spans="2:9" s="126" customFormat="1" ht="15.95" customHeight="1">
      <c r="B93" s="154">
        <v>44476</v>
      </c>
      <c r="C93" s="159">
        <v>24292</v>
      </c>
      <c r="D93" s="156" t="s">
        <v>1389</v>
      </c>
      <c r="E93" s="157"/>
      <c r="F93" s="157">
        <v>1293310</v>
      </c>
      <c r="G93" s="157">
        <f t="shared" si="1"/>
        <v>18903018.440000001</v>
      </c>
      <c r="H93" s="158"/>
      <c r="I93" s="158"/>
    </row>
    <row r="94" spans="2:9" s="126" customFormat="1" ht="15.95" customHeight="1">
      <c r="B94" s="154">
        <v>44476</v>
      </c>
      <c r="C94" s="159">
        <v>24291</v>
      </c>
      <c r="D94" s="156" t="s">
        <v>1389</v>
      </c>
      <c r="E94" s="157"/>
      <c r="F94" s="157">
        <v>1929825</v>
      </c>
      <c r="G94" s="157">
        <f t="shared" si="1"/>
        <v>16973193.440000001</v>
      </c>
      <c r="H94" s="158"/>
      <c r="I94" s="158"/>
    </row>
    <row r="95" spans="2:9" s="126" customFormat="1" ht="15.95" customHeight="1">
      <c r="B95" s="154">
        <v>44476</v>
      </c>
      <c r="C95" s="159">
        <v>24222</v>
      </c>
      <c r="D95" s="327" t="s">
        <v>1232</v>
      </c>
      <c r="E95" s="157"/>
      <c r="F95" s="157">
        <v>5214672</v>
      </c>
      <c r="G95" s="157">
        <f t="shared" si="1"/>
        <v>11758521.440000001</v>
      </c>
      <c r="H95" s="158"/>
      <c r="I95" s="158"/>
    </row>
    <row r="96" spans="2:9" s="126" customFormat="1" ht="15.95" customHeight="1">
      <c r="B96" s="154">
        <v>44476</v>
      </c>
      <c r="C96" s="159">
        <v>24536793820</v>
      </c>
      <c r="D96" s="156" t="s">
        <v>1389</v>
      </c>
      <c r="E96" s="157"/>
      <c r="F96" s="157">
        <v>3800000</v>
      </c>
      <c r="G96" s="157">
        <f t="shared" si="1"/>
        <v>7958521.4400000013</v>
      </c>
      <c r="H96" s="158"/>
      <c r="I96" s="158"/>
    </row>
    <row r="97" spans="2:9" s="126" customFormat="1" ht="15.95" customHeight="1">
      <c r="B97" s="154">
        <v>44477</v>
      </c>
      <c r="C97" s="159">
        <v>20518320</v>
      </c>
      <c r="D97" s="156" t="s">
        <v>1064</v>
      </c>
      <c r="E97" s="157">
        <v>1929825</v>
      </c>
      <c r="F97" s="157"/>
      <c r="G97" s="157">
        <f t="shared" si="1"/>
        <v>9888346.4400000013</v>
      </c>
      <c r="H97" s="158"/>
      <c r="I97" s="158"/>
    </row>
    <row r="98" spans="2:9" s="126" customFormat="1" ht="15.95" customHeight="1">
      <c r="B98" s="154">
        <v>44477</v>
      </c>
      <c r="C98" s="155">
        <v>20518319</v>
      </c>
      <c r="D98" s="156" t="s">
        <v>1064</v>
      </c>
      <c r="E98" s="157">
        <v>1293310</v>
      </c>
      <c r="F98" s="157"/>
      <c r="G98" s="157">
        <f t="shared" si="1"/>
        <v>11181656.440000001</v>
      </c>
      <c r="H98" s="158"/>
      <c r="I98" s="158"/>
    </row>
    <row r="99" spans="2:9" s="126" customFormat="1" ht="15.95" customHeight="1">
      <c r="B99" s="154">
        <v>44477</v>
      </c>
      <c r="C99" s="155">
        <v>24229</v>
      </c>
      <c r="D99" s="156" t="s">
        <v>1914</v>
      </c>
      <c r="E99" s="157"/>
      <c r="F99" s="157">
        <v>15752.65</v>
      </c>
      <c r="G99" s="157">
        <f t="shared" si="1"/>
        <v>11165903.790000001</v>
      </c>
      <c r="H99" s="158"/>
      <c r="I99" s="158"/>
    </row>
    <row r="100" spans="2:9" s="126" customFormat="1" ht="15.95" customHeight="1">
      <c r="B100" s="154">
        <v>44477</v>
      </c>
      <c r="C100" s="155">
        <v>24544147120</v>
      </c>
      <c r="D100" s="156" t="s">
        <v>1389</v>
      </c>
      <c r="E100" s="157"/>
      <c r="F100" s="157">
        <v>3200000</v>
      </c>
      <c r="G100" s="157">
        <f t="shared" si="1"/>
        <v>7965903.790000001</v>
      </c>
      <c r="H100" s="158"/>
      <c r="I100" s="158"/>
    </row>
    <row r="101" spans="2:9" s="126" customFormat="1" ht="15.95" customHeight="1">
      <c r="B101" s="154">
        <v>44480</v>
      </c>
      <c r="C101" s="155">
        <v>20518326</v>
      </c>
      <c r="D101" s="156" t="s">
        <v>1064</v>
      </c>
      <c r="E101" s="157">
        <v>5000000</v>
      </c>
      <c r="F101" s="157"/>
      <c r="G101" s="157">
        <f t="shared" si="1"/>
        <v>12965903.790000001</v>
      </c>
      <c r="H101" s="158"/>
      <c r="I101" s="158"/>
    </row>
    <row r="102" spans="2:9" s="126" customFormat="1" ht="15.95" customHeight="1">
      <c r="B102" s="154">
        <v>44480</v>
      </c>
      <c r="C102" s="159">
        <v>20518316</v>
      </c>
      <c r="D102" s="156" t="s">
        <v>1064</v>
      </c>
      <c r="E102" s="157">
        <v>1706515</v>
      </c>
      <c r="F102" s="157"/>
      <c r="G102" s="157">
        <f t="shared" si="1"/>
        <v>14672418.790000001</v>
      </c>
      <c r="H102" s="158"/>
      <c r="I102" s="158"/>
    </row>
    <row r="103" spans="2:9" s="126" customFormat="1" ht="15.95" customHeight="1">
      <c r="B103" s="154">
        <v>44480</v>
      </c>
      <c r="C103" s="155">
        <v>19617198</v>
      </c>
      <c r="D103" s="156" t="s">
        <v>1064</v>
      </c>
      <c r="E103" s="157">
        <v>10000000</v>
      </c>
      <c r="F103" s="157"/>
      <c r="G103" s="157">
        <f t="shared" si="1"/>
        <v>24672418.789999999</v>
      </c>
      <c r="H103" s="158"/>
      <c r="I103" s="158"/>
    </row>
    <row r="104" spans="2:9" s="126" customFormat="1" ht="15.95" customHeight="1">
      <c r="B104" s="154">
        <v>44480</v>
      </c>
      <c r="C104" s="155">
        <v>24275</v>
      </c>
      <c r="D104" s="156" t="s">
        <v>1954</v>
      </c>
      <c r="E104" s="157"/>
      <c r="F104" s="157">
        <v>25958.7</v>
      </c>
      <c r="G104" s="157">
        <f t="shared" si="1"/>
        <v>24646460.09</v>
      </c>
      <c r="H104" s="158"/>
      <c r="I104" s="158"/>
    </row>
    <row r="105" spans="2:9" s="126" customFormat="1" ht="15.95" customHeight="1">
      <c r="B105" s="154">
        <v>44480</v>
      </c>
      <c r="C105" s="155">
        <v>24328</v>
      </c>
      <c r="D105" s="327" t="s">
        <v>1725</v>
      </c>
      <c r="E105" s="157"/>
      <c r="F105" s="157">
        <v>57630</v>
      </c>
      <c r="G105" s="157">
        <f t="shared" si="1"/>
        <v>24588830.09</v>
      </c>
      <c r="H105" s="158"/>
      <c r="I105" s="158"/>
    </row>
    <row r="106" spans="2:9" s="126" customFormat="1" ht="15.95" customHeight="1">
      <c r="B106" s="154">
        <v>44480</v>
      </c>
      <c r="C106" s="155">
        <v>24302</v>
      </c>
      <c r="D106" s="327" t="s">
        <v>147</v>
      </c>
      <c r="E106" s="157"/>
      <c r="F106" s="157">
        <v>64464.24</v>
      </c>
      <c r="G106" s="157">
        <f t="shared" si="1"/>
        <v>24524365.850000001</v>
      </c>
      <c r="H106" s="158"/>
      <c r="I106" s="158"/>
    </row>
    <row r="107" spans="2:9" s="126" customFormat="1" ht="15.95" customHeight="1">
      <c r="B107" s="154">
        <v>44480</v>
      </c>
      <c r="C107" s="159">
        <v>24273</v>
      </c>
      <c r="D107" s="156" t="s">
        <v>1952</v>
      </c>
      <c r="E107" s="157"/>
      <c r="F107" s="157">
        <v>131665.74</v>
      </c>
      <c r="G107" s="157">
        <f t="shared" si="1"/>
        <v>24392700.110000003</v>
      </c>
      <c r="H107" s="158"/>
      <c r="I107" s="158"/>
    </row>
    <row r="108" spans="2:9" s="126" customFormat="1" ht="15.95" customHeight="1">
      <c r="B108" s="154">
        <v>44480</v>
      </c>
      <c r="C108" s="159">
        <v>24407</v>
      </c>
      <c r="D108" s="327" t="s">
        <v>1189</v>
      </c>
      <c r="E108" s="157"/>
      <c r="F108" s="157">
        <v>2363790</v>
      </c>
      <c r="G108" s="157">
        <f t="shared" si="1"/>
        <v>22028910.110000003</v>
      </c>
      <c r="H108" s="158"/>
      <c r="I108" s="158"/>
    </row>
    <row r="109" spans="2:9" s="126" customFormat="1" ht="15.95" customHeight="1">
      <c r="B109" s="154">
        <v>44480</v>
      </c>
      <c r="C109" s="159">
        <v>24438</v>
      </c>
      <c r="D109" s="327" t="s">
        <v>1346</v>
      </c>
      <c r="E109" s="157"/>
      <c r="F109" s="157">
        <v>2600169</v>
      </c>
      <c r="G109" s="157">
        <f t="shared" si="1"/>
        <v>19428741.110000003</v>
      </c>
      <c r="H109" s="158"/>
      <c r="I109" s="158"/>
    </row>
    <row r="110" spans="2:9" s="126" customFormat="1" ht="15.95" customHeight="1">
      <c r="B110" s="154">
        <v>44480</v>
      </c>
      <c r="C110" s="159">
        <v>24298</v>
      </c>
      <c r="D110" s="327" t="s">
        <v>1348</v>
      </c>
      <c r="E110" s="157"/>
      <c r="F110" s="157">
        <v>10721000</v>
      </c>
      <c r="G110" s="157">
        <f t="shared" si="1"/>
        <v>8707741.1100000031</v>
      </c>
      <c r="H110" s="158"/>
      <c r="I110" s="158"/>
    </row>
    <row r="111" spans="2:9" s="126" customFormat="1" ht="15.95" customHeight="1">
      <c r="B111" s="154">
        <v>44481</v>
      </c>
      <c r="C111" s="159">
        <v>471749119</v>
      </c>
      <c r="D111" s="156" t="s">
        <v>1064</v>
      </c>
      <c r="E111" s="157">
        <v>4000</v>
      </c>
      <c r="F111" s="157"/>
      <c r="G111" s="157">
        <f t="shared" si="1"/>
        <v>8711741.1100000031</v>
      </c>
      <c r="H111" s="158"/>
      <c r="I111" s="158"/>
    </row>
    <row r="112" spans="2:9" s="126" customFormat="1" ht="15.95" customHeight="1">
      <c r="B112" s="154">
        <v>44481</v>
      </c>
      <c r="C112" s="159">
        <v>471749118</v>
      </c>
      <c r="D112" s="156" t="s">
        <v>1064</v>
      </c>
      <c r="E112" s="157">
        <v>297590</v>
      </c>
      <c r="F112" s="157"/>
      <c r="G112" s="157">
        <f t="shared" si="1"/>
        <v>9009331.1100000031</v>
      </c>
      <c r="H112" s="158"/>
      <c r="I112" s="158"/>
    </row>
    <row r="113" spans="2:9" s="126" customFormat="1" ht="15.95" customHeight="1">
      <c r="B113" s="154">
        <v>44481</v>
      </c>
      <c r="C113" s="155">
        <v>471749117</v>
      </c>
      <c r="D113" s="156" t="s">
        <v>1064</v>
      </c>
      <c r="E113" s="157">
        <v>5000</v>
      </c>
      <c r="F113" s="157"/>
      <c r="G113" s="157">
        <f t="shared" si="1"/>
        <v>9014331.1100000031</v>
      </c>
      <c r="H113" s="158"/>
      <c r="I113" s="158"/>
    </row>
    <row r="114" spans="2:9" s="126" customFormat="1" ht="15.95" customHeight="1">
      <c r="B114" s="154">
        <v>44481</v>
      </c>
      <c r="C114" s="155">
        <v>471749115</v>
      </c>
      <c r="D114" s="156" t="s">
        <v>1064</v>
      </c>
      <c r="E114" s="157">
        <v>764075</v>
      </c>
      <c r="F114" s="157"/>
      <c r="G114" s="157">
        <f t="shared" si="1"/>
        <v>9778406.1100000031</v>
      </c>
      <c r="H114" s="158"/>
      <c r="I114" s="158"/>
    </row>
    <row r="115" spans="2:9" s="126" customFormat="1" ht="15.95" customHeight="1">
      <c r="B115" s="154">
        <v>44481</v>
      </c>
      <c r="C115" s="155">
        <v>24567280165</v>
      </c>
      <c r="D115" s="156" t="s">
        <v>1064</v>
      </c>
      <c r="E115" s="157">
        <v>680000</v>
      </c>
      <c r="F115" s="157"/>
      <c r="G115" s="157">
        <f t="shared" si="1"/>
        <v>10458406.110000003</v>
      </c>
      <c r="H115" s="158"/>
      <c r="I115" s="158"/>
    </row>
    <row r="116" spans="2:9" s="126" customFormat="1" ht="15.95" customHeight="1">
      <c r="B116" s="154">
        <v>44481</v>
      </c>
      <c r="C116" s="155">
        <v>24356</v>
      </c>
      <c r="D116" s="156" t="s">
        <v>2003</v>
      </c>
      <c r="E116" s="157"/>
      <c r="F116" s="157">
        <v>14973.08</v>
      </c>
      <c r="G116" s="157">
        <f t="shared" si="1"/>
        <v>10443433.030000003</v>
      </c>
      <c r="H116" s="158"/>
      <c r="I116" s="158"/>
    </row>
    <row r="117" spans="2:9" s="126" customFormat="1" ht="15.95" customHeight="1">
      <c r="B117" s="154">
        <v>44481</v>
      </c>
      <c r="C117" s="155">
        <v>24304</v>
      </c>
      <c r="D117" s="156" t="s">
        <v>1970</v>
      </c>
      <c r="E117" s="157"/>
      <c r="F117" s="157">
        <v>25383.02</v>
      </c>
      <c r="G117" s="157">
        <f t="shared" si="1"/>
        <v>10418050.010000004</v>
      </c>
      <c r="H117" s="158"/>
      <c r="I117" s="158"/>
    </row>
    <row r="118" spans="2:9" s="126" customFormat="1" ht="15.95" customHeight="1">
      <c r="B118" s="154">
        <v>44481</v>
      </c>
      <c r="C118" s="155">
        <v>24306</v>
      </c>
      <c r="D118" s="156" t="s">
        <v>1971</v>
      </c>
      <c r="E118" s="157"/>
      <c r="F118" s="157">
        <v>27411.17</v>
      </c>
      <c r="G118" s="157">
        <f t="shared" si="1"/>
        <v>10390638.840000004</v>
      </c>
      <c r="H118" s="158"/>
      <c r="I118" s="158"/>
    </row>
    <row r="119" spans="2:9" s="126" customFormat="1" ht="15.95" customHeight="1">
      <c r="B119" s="154">
        <v>44481</v>
      </c>
      <c r="C119" s="155">
        <v>24300</v>
      </c>
      <c r="D119" s="327" t="s">
        <v>1821</v>
      </c>
      <c r="E119" s="157"/>
      <c r="F119" s="157">
        <v>59626.71</v>
      </c>
      <c r="G119" s="157">
        <f t="shared" si="1"/>
        <v>10331012.130000003</v>
      </c>
      <c r="H119" s="158"/>
      <c r="I119" s="158"/>
    </row>
    <row r="120" spans="2:9" s="126" customFormat="1" ht="15.95" customHeight="1">
      <c r="B120" s="154">
        <v>44481</v>
      </c>
      <c r="C120" s="155">
        <v>24308</v>
      </c>
      <c r="D120" s="156" t="s">
        <v>1973</v>
      </c>
      <c r="E120" s="157"/>
      <c r="F120" s="157">
        <v>74484.69</v>
      </c>
      <c r="G120" s="157">
        <f t="shared" si="1"/>
        <v>10256527.440000003</v>
      </c>
      <c r="H120" s="158"/>
      <c r="I120" s="158"/>
    </row>
    <row r="121" spans="2:9" s="126" customFormat="1" ht="15.95" customHeight="1">
      <c r="B121" s="154">
        <v>44481</v>
      </c>
      <c r="C121" s="155">
        <v>24342</v>
      </c>
      <c r="D121" s="156" t="s">
        <v>1997</v>
      </c>
      <c r="E121" s="157"/>
      <c r="F121" s="157">
        <v>74484.69</v>
      </c>
      <c r="G121" s="157">
        <f t="shared" si="1"/>
        <v>10182042.750000004</v>
      </c>
      <c r="H121" s="158"/>
      <c r="I121" s="158"/>
    </row>
    <row r="122" spans="2:9" s="126" customFormat="1" ht="15.95" customHeight="1">
      <c r="B122" s="154">
        <v>44481</v>
      </c>
      <c r="C122" s="155">
        <v>24310</v>
      </c>
      <c r="D122" s="156" t="s">
        <v>1975</v>
      </c>
      <c r="E122" s="157"/>
      <c r="F122" s="157">
        <v>75414.67</v>
      </c>
      <c r="G122" s="157">
        <f t="shared" si="1"/>
        <v>10106628.080000004</v>
      </c>
      <c r="H122" s="158"/>
      <c r="I122" s="158"/>
    </row>
    <row r="123" spans="2:9" s="126" customFormat="1" ht="15.95" customHeight="1">
      <c r="B123" s="154">
        <v>44481</v>
      </c>
      <c r="C123" s="155">
        <v>24309</v>
      </c>
      <c r="D123" s="156" t="s">
        <v>1974</v>
      </c>
      <c r="E123" s="157"/>
      <c r="F123" s="157">
        <v>113274.75</v>
      </c>
      <c r="G123" s="157">
        <f t="shared" si="1"/>
        <v>9993353.3300000038</v>
      </c>
      <c r="H123" s="158"/>
      <c r="I123" s="158"/>
    </row>
    <row r="124" spans="2:9" s="126" customFormat="1" ht="15.95" customHeight="1">
      <c r="B124" s="154">
        <v>44481</v>
      </c>
      <c r="C124" s="155">
        <v>24295</v>
      </c>
      <c r="D124" s="327" t="s">
        <v>1088</v>
      </c>
      <c r="E124" s="157"/>
      <c r="F124" s="157">
        <v>215152</v>
      </c>
      <c r="G124" s="157">
        <f t="shared" si="1"/>
        <v>9778201.3300000038</v>
      </c>
      <c r="H124" s="158"/>
      <c r="I124" s="158"/>
    </row>
    <row r="125" spans="2:9" s="126" customFormat="1" ht="15.95" customHeight="1">
      <c r="B125" s="154">
        <v>44481</v>
      </c>
      <c r="C125" s="155">
        <v>24326</v>
      </c>
      <c r="D125" s="156" t="s">
        <v>1389</v>
      </c>
      <c r="E125" s="157"/>
      <c r="F125" s="157">
        <v>1061655</v>
      </c>
      <c r="G125" s="157">
        <f t="shared" si="1"/>
        <v>8716546.3300000038</v>
      </c>
      <c r="H125" s="158"/>
      <c r="I125" s="158"/>
    </row>
    <row r="126" spans="2:9" s="126" customFormat="1" ht="15.95" customHeight="1">
      <c r="B126" s="154">
        <v>44481</v>
      </c>
      <c r="C126" s="155">
        <v>24566987252</v>
      </c>
      <c r="D126" s="156" t="s">
        <v>1389</v>
      </c>
      <c r="E126" s="157"/>
      <c r="F126" s="157">
        <v>800000</v>
      </c>
      <c r="G126" s="157">
        <f t="shared" si="1"/>
        <v>7916546.3300000038</v>
      </c>
      <c r="H126" s="158"/>
      <c r="I126" s="158"/>
    </row>
    <row r="127" spans="2:9" s="126" customFormat="1" ht="15.95" customHeight="1">
      <c r="B127" s="154">
        <v>44482</v>
      </c>
      <c r="C127" s="155">
        <v>471810903</v>
      </c>
      <c r="D127" s="156" t="s">
        <v>1064</v>
      </c>
      <c r="E127" s="157">
        <v>356445</v>
      </c>
      <c r="F127" s="157"/>
      <c r="G127" s="157">
        <f t="shared" si="1"/>
        <v>8272991.3300000038</v>
      </c>
      <c r="H127" s="158"/>
      <c r="I127" s="158"/>
    </row>
    <row r="128" spans="2:9" s="126" customFormat="1" ht="15.95" customHeight="1">
      <c r="B128" s="154">
        <v>44482</v>
      </c>
      <c r="C128" s="155">
        <v>471810902</v>
      </c>
      <c r="D128" s="156" t="s">
        <v>1064</v>
      </c>
      <c r="E128" s="157">
        <v>421820</v>
      </c>
      <c r="F128" s="157"/>
      <c r="G128" s="157">
        <f t="shared" si="1"/>
        <v>8694811.3300000038</v>
      </c>
      <c r="H128" s="158"/>
      <c r="I128" s="158"/>
    </row>
    <row r="129" spans="2:9" s="126" customFormat="1" ht="15.95" customHeight="1">
      <c r="B129" s="154">
        <v>44482</v>
      </c>
      <c r="C129" s="155">
        <v>471810900</v>
      </c>
      <c r="D129" s="156" t="s">
        <v>1064</v>
      </c>
      <c r="E129" s="157">
        <v>515020</v>
      </c>
      <c r="F129" s="157"/>
      <c r="G129" s="157">
        <f t="shared" si="1"/>
        <v>9209831.3300000038</v>
      </c>
      <c r="H129" s="158"/>
      <c r="I129" s="158"/>
    </row>
    <row r="130" spans="2:9" s="126" customFormat="1" ht="15.95" customHeight="1">
      <c r="B130" s="154">
        <v>44482</v>
      </c>
      <c r="C130" s="155">
        <v>20518304</v>
      </c>
      <c r="D130" s="156" t="s">
        <v>1064</v>
      </c>
      <c r="E130" s="157">
        <v>10000000</v>
      </c>
      <c r="F130" s="157"/>
      <c r="G130" s="157">
        <f t="shared" si="1"/>
        <v>19209831.330000006</v>
      </c>
      <c r="H130" s="158"/>
      <c r="I130" s="158"/>
    </row>
    <row r="131" spans="2:9" s="126" customFormat="1" ht="15.95" customHeight="1">
      <c r="B131" s="154">
        <v>44482</v>
      </c>
      <c r="C131" s="155">
        <v>20518327</v>
      </c>
      <c r="D131" s="156" t="s">
        <v>1064</v>
      </c>
      <c r="E131" s="157">
        <v>1061655</v>
      </c>
      <c r="F131" s="157"/>
      <c r="G131" s="157">
        <f t="shared" si="1"/>
        <v>20271486.330000006</v>
      </c>
      <c r="H131" s="158"/>
      <c r="I131" s="158"/>
    </row>
    <row r="132" spans="2:9" s="126" customFormat="1" ht="15.95" customHeight="1">
      <c r="B132" s="154">
        <v>44482</v>
      </c>
      <c r="C132" s="155">
        <v>24319</v>
      </c>
      <c r="D132" s="156" t="s">
        <v>1984</v>
      </c>
      <c r="E132" s="157"/>
      <c r="F132" s="157">
        <v>40020.04</v>
      </c>
      <c r="G132" s="157">
        <f t="shared" si="1"/>
        <v>20231466.290000007</v>
      </c>
      <c r="H132" s="158"/>
      <c r="I132" s="158"/>
    </row>
    <row r="133" spans="2:9" s="126" customFormat="1" ht="15.95" customHeight="1">
      <c r="B133" s="154">
        <v>44482</v>
      </c>
      <c r="C133" s="155">
        <v>24313</v>
      </c>
      <c r="D133" s="156" t="s">
        <v>1978</v>
      </c>
      <c r="E133" s="157"/>
      <c r="F133" s="157">
        <v>40510.69</v>
      </c>
      <c r="G133" s="157">
        <f t="shared" si="1"/>
        <v>20190955.600000005</v>
      </c>
      <c r="H133" s="158"/>
      <c r="I133" s="158"/>
    </row>
    <row r="134" spans="2:9" s="126" customFormat="1" ht="15.95" customHeight="1">
      <c r="B134" s="154">
        <v>44482</v>
      </c>
      <c r="C134" s="155">
        <v>24315</v>
      </c>
      <c r="D134" s="156" t="s">
        <v>1980</v>
      </c>
      <c r="E134" s="157"/>
      <c r="F134" s="157">
        <v>44220.639999999999</v>
      </c>
      <c r="G134" s="157">
        <f t="shared" si="1"/>
        <v>20146734.960000005</v>
      </c>
      <c r="H134" s="158"/>
      <c r="I134" s="158"/>
    </row>
    <row r="135" spans="2:9" s="126" customFormat="1" ht="15.95" customHeight="1">
      <c r="B135" s="154">
        <v>44482</v>
      </c>
      <c r="C135" s="155">
        <v>24190</v>
      </c>
      <c r="D135" s="327" t="s">
        <v>1152</v>
      </c>
      <c r="E135" s="157"/>
      <c r="F135" s="157">
        <v>45000</v>
      </c>
      <c r="G135" s="157">
        <f t="shared" si="1"/>
        <v>20101734.960000005</v>
      </c>
      <c r="H135" s="158"/>
      <c r="I135" s="158"/>
    </row>
    <row r="136" spans="2:9" s="126" customFormat="1" ht="15.95" customHeight="1">
      <c r="B136" s="154">
        <v>44482</v>
      </c>
      <c r="C136" s="155">
        <v>24338</v>
      </c>
      <c r="D136" s="156" t="s">
        <v>1994</v>
      </c>
      <c r="E136" s="157"/>
      <c r="F136" s="157">
        <v>51344.02</v>
      </c>
      <c r="G136" s="157">
        <f t="shared" si="1"/>
        <v>20050390.940000005</v>
      </c>
      <c r="H136" s="158"/>
      <c r="I136" s="158"/>
    </row>
    <row r="137" spans="2:9" s="126" customFormat="1" ht="15.95" customHeight="1">
      <c r="B137" s="154">
        <v>44482</v>
      </c>
      <c r="C137" s="155">
        <v>24303</v>
      </c>
      <c r="D137" s="156" t="s">
        <v>1969</v>
      </c>
      <c r="E137" s="157"/>
      <c r="F137" s="157">
        <v>53240.74</v>
      </c>
      <c r="G137" s="157">
        <f t="shared" si="1"/>
        <v>19997150.200000007</v>
      </c>
      <c r="H137" s="158"/>
      <c r="I137" s="158"/>
    </row>
    <row r="138" spans="2:9" s="126" customFormat="1" ht="15.95" customHeight="1">
      <c r="B138" s="154">
        <v>44482</v>
      </c>
      <c r="C138" s="155">
        <v>24322</v>
      </c>
      <c r="D138" s="156" t="s">
        <v>1986</v>
      </c>
      <c r="E138" s="157"/>
      <c r="F138" s="157">
        <v>56529.760000000002</v>
      </c>
      <c r="G138" s="157">
        <f t="shared" si="1"/>
        <v>19940620.440000005</v>
      </c>
      <c r="H138" s="158"/>
      <c r="I138" s="158"/>
    </row>
    <row r="139" spans="2:9" s="126" customFormat="1" ht="15.95" customHeight="1">
      <c r="B139" s="154">
        <v>44482</v>
      </c>
      <c r="C139" s="155">
        <v>24301</v>
      </c>
      <c r="D139" s="327" t="s">
        <v>1725</v>
      </c>
      <c r="E139" s="157"/>
      <c r="F139" s="157">
        <v>57630</v>
      </c>
      <c r="G139" s="157">
        <f t="shared" si="1"/>
        <v>19882990.440000005</v>
      </c>
      <c r="H139" s="158"/>
      <c r="I139" s="158"/>
    </row>
    <row r="140" spans="2:9" s="126" customFormat="1" ht="15.95" customHeight="1">
      <c r="B140" s="154">
        <v>44482</v>
      </c>
      <c r="C140" s="155">
        <v>24316</v>
      </c>
      <c r="D140" s="156" t="s">
        <v>1981</v>
      </c>
      <c r="E140" s="157"/>
      <c r="F140" s="157">
        <v>71344.02</v>
      </c>
      <c r="G140" s="157">
        <f t="shared" si="1"/>
        <v>19811646.420000006</v>
      </c>
      <c r="H140" s="158"/>
      <c r="I140" s="158"/>
    </row>
    <row r="141" spans="2:9" s="126" customFormat="1" ht="15.95" customHeight="1">
      <c r="B141" s="154">
        <v>44482</v>
      </c>
      <c r="C141" s="155">
        <v>24318</v>
      </c>
      <c r="D141" s="156" t="s">
        <v>1983</v>
      </c>
      <c r="E141" s="157"/>
      <c r="F141" s="157">
        <v>71344.02</v>
      </c>
      <c r="G141" s="157">
        <f t="shared" si="1"/>
        <v>19740302.400000006</v>
      </c>
      <c r="H141" s="158"/>
      <c r="I141" s="158"/>
    </row>
    <row r="142" spans="2:9" s="126" customFormat="1" ht="15.95" customHeight="1">
      <c r="B142" s="154">
        <v>44482</v>
      </c>
      <c r="C142" s="155">
        <v>24312</v>
      </c>
      <c r="D142" s="156" t="s">
        <v>1977</v>
      </c>
      <c r="E142" s="157"/>
      <c r="F142" s="157">
        <v>83626.52</v>
      </c>
      <c r="G142" s="157">
        <f t="shared" si="1"/>
        <v>19656675.880000006</v>
      </c>
      <c r="H142" s="158"/>
      <c r="I142" s="158"/>
    </row>
    <row r="143" spans="2:9" s="126" customFormat="1" ht="15.95" customHeight="1">
      <c r="B143" s="154">
        <v>44482</v>
      </c>
      <c r="C143" s="155">
        <v>24325</v>
      </c>
      <c r="D143" s="156" t="s">
        <v>1988</v>
      </c>
      <c r="E143" s="157"/>
      <c r="F143" s="157">
        <v>94554.57</v>
      </c>
      <c r="G143" s="157">
        <f t="shared" si="1"/>
        <v>19562121.310000006</v>
      </c>
      <c r="H143" s="158"/>
      <c r="I143" s="158"/>
    </row>
    <row r="144" spans="2:9" s="126" customFormat="1" ht="15.95" customHeight="1">
      <c r="B144" s="154">
        <v>44482</v>
      </c>
      <c r="C144" s="155">
        <v>24320</v>
      </c>
      <c r="D144" s="156" t="s">
        <v>1985</v>
      </c>
      <c r="E144" s="157"/>
      <c r="F144" s="157">
        <v>98458.7</v>
      </c>
      <c r="G144" s="157">
        <f t="shared" si="1"/>
        <v>19463662.610000007</v>
      </c>
      <c r="H144" s="158"/>
      <c r="I144" s="158"/>
    </row>
    <row r="145" spans="2:9" s="126" customFormat="1" ht="15.95" customHeight="1">
      <c r="B145" s="154">
        <v>44482</v>
      </c>
      <c r="C145" s="155">
        <v>24314</v>
      </c>
      <c r="D145" s="156" t="s">
        <v>1979</v>
      </c>
      <c r="E145" s="157"/>
      <c r="F145" s="157">
        <v>170998.39999999999</v>
      </c>
      <c r="G145" s="157">
        <f t="shared" si="1"/>
        <v>19292664.210000008</v>
      </c>
      <c r="H145" s="158"/>
      <c r="I145" s="158"/>
    </row>
    <row r="146" spans="2:9" s="126" customFormat="1" ht="15.95" customHeight="1">
      <c r="B146" s="154">
        <v>44482</v>
      </c>
      <c r="C146" s="155">
        <v>24324</v>
      </c>
      <c r="D146" s="156" t="s">
        <v>1987</v>
      </c>
      <c r="E146" s="157"/>
      <c r="F146" s="157">
        <v>244220.12</v>
      </c>
      <c r="G146" s="157">
        <f t="shared" ref="G146:G209" si="2">+G145+E146-F146</f>
        <v>19048444.090000007</v>
      </c>
      <c r="H146" s="158"/>
      <c r="I146" s="158"/>
    </row>
    <row r="147" spans="2:9" s="126" customFormat="1" ht="15.95" customHeight="1">
      <c r="B147" s="154">
        <v>44482</v>
      </c>
      <c r="C147" s="155">
        <v>24327</v>
      </c>
      <c r="D147" s="327" t="s">
        <v>1255</v>
      </c>
      <c r="E147" s="157"/>
      <c r="F147" s="157">
        <v>441000</v>
      </c>
      <c r="G147" s="157">
        <f t="shared" si="2"/>
        <v>18607444.090000007</v>
      </c>
      <c r="H147" s="158"/>
      <c r="I147" s="158"/>
    </row>
    <row r="148" spans="2:9" s="126" customFormat="1" ht="15.95" customHeight="1">
      <c r="B148" s="154">
        <v>44482</v>
      </c>
      <c r="C148" s="155">
        <v>24296</v>
      </c>
      <c r="D148" s="327" t="s">
        <v>1904</v>
      </c>
      <c r="E148" s="157"/>
      <c r="F148" s="157">
        <v>445360</v>
      </c>
      <c r="G148" s="157">
        <f t="shared" si="2"/>
        <v>18162084.090000007</v>
      </c>
      <c r="H148" s="158"/>
      <c r="I148" s="158"/>
    </row>
    <row r="149" spans="2:9" s="126" customFormat="1" ht="15.95" customHeight="1">
      <c r="B149" s="154">
        <v>44482</v>
      </c>
      <c r="C149" s="155">
        <v>24330</v>
      </c>
      <c r="D149" s="156" t="s">
        <v>1389</v>
      </c>
      <c r="E149" s="157"/>
      <c r="F149" s="157">
        <v>1293285</v>
      </c>
      <c r="G149" s="157">
        <f t="shared" si="2"/>
        <v>16868799.090000007</v>
      </c>
      <c r="H149" s="158"/>
      <c r="I149" s="158"/>
    </row>
    <row r="150" spans="2:9" s="126" customFormat="1" ht="15.95" customHeight="1">
      <c r="B150" s="154">
        <v>44482</v>
      </c>
      <c r="C150" s="155">
        <v>24321</v>
      </c>
      <c r="D150" s="327" t="s">
        <v>2020</v>
      </c>
      <c r="E150" s="157"/>
      <c r="F150" s="157">
        <v>1438719.6</v>
      </c>
      <c r="G150" s="157">
        <f t="shared" si="2"/>
        <v>15430079.490000008</v>
      </c>
      <c r="H150" s="158"/>
      <c r="I150" s="158"/>
    </row>
    <row r="151" spans="2:9" s="126" customFormat="1" ht="15.95" customHeight="1">
      <c r="B151" s="154">
        <v>44482</v>
      </c>
      <c r="C151" s="155">
        <v>24299</v>
      </c>
      <c r="D151" s="327" t="s">
        <v>1904</v>
      </c>
      <c r="E151" s="157"/>
      <c r="F151" s="157">
        <v>1639233.07</v>
      </c>
      <c r="G151" s="157">
        <f t="shared" si="2"/>
        <v>13790846.420000007</v>
      </c>
      <c r="H151" s="158"/>
      <c r="I151" s="158"/>
    </row>
    <row r="152" spans="2:9" s="126" customFormat="1" ht="15.95" customHeight="1">
      <c r="B152" s="154">
        <v>44482</v>
      </c>
      <c r="C152" s="155">
        <v>24331</v>
      </c>
      <c r="D152" s="156" t="s">
        <v>1389</v>
      </c>
      <c r="E152" s="157"/>
      <c r="F152" s="157">
        <v>4000000</v>
      </c>
      <c r="G152" s="157">
        <f t="shared" si="2"/>
        <v>9790846.4200000074</v>
      </c>
      <c r="H152" s="158"/>
      <c r="I152" s="158"/>
    </row>
    <row r="153" spans="2:9" s="126" customFormat="1" ht="15.95" customHeight="1">
      <c r="B153" s="154">
        <v>44482</v>
      </c>
      <c r="C153" s="155">
        <v>24577475044</v>
      </c>
      <c r="D153" s="156" t="s">
        <v>1389</v>
      </c>
      <c r="E153" s="157"/>
      <c r="F153" s="157">
        <v>800000</v>
      </c>
      <c r="G153" s="157">
        <f t="shared" si="2"/>
        <v>8990846.4200000074</v>
      </c>
      <c r="H153" s="158"/>
      <c r="I153" s="158"/>
    </row>
    <row r="154" spans="2:9" s="126" customFormat="1" ht="15.95" customHeight="1">
      <c r="B154" s="154">
        <v>44482</v>
      </c>
      <c r="C154" s="155">
        <v>24575302183</v>
      </c>
      <c r="D154" s="156" t="s">
        <v>1389</v>
      </c>
      <c r="E154" s="157"/>
      <c r="F154" s="157">
        <v>1000000</v>
      </c>
      <c r="G154" s="157">
        <f t="shared" si="2"/>
        <v>7990846.4200000074</v>
      </c>
      <c r="H154" s="158"/>
      <c r="I154" s="158"/>
    </row>
    <row r="155" spans="2:9" s="126" customFormat="1" ht="15.95" customHeight="1">
      <c r="B155" s="154">
        <v>44484</v>
      </c>
      <c r="C155" s="155">
        <v>471750035</v>
      </c>
      <c r="D155" s="156" t="s">
        <v>1064</v>
      </c>
      <c r="E155" s="157">
        <v>4850</v>
      </c>
      <c r="F155" s="157"/>
      <c r="G155" s="157">
        <f t="shared" si="2"/>
        <v>7995696.4200000074</v>
      </c>
      <c r="H155" s="158"/>
      <c r="I155" s="158"/>
    </row>
    <row r="156" spans="2:9" s="126" customFormat="1" ht="15.95" customHeight="1">
      <c r="B156" s="154">
        <v>44484</v>
      </c>
      <c r="C156" s="155">
        <v>471750034</v>
      </c>
      <c r="D156" s="156" t="s">
        <v>1064</v>
      </c>
      <c r="E156" s="157">
        <v>437390</v>
      </c>
      <c r="F156" s="157"/>
      <c r="G156" s="157">
        <f t="shared" si="2"/>
        <v>8433086.4200000074</v>
      </c>
      <c r="H156" s="158"/>
      <c r="I156" s="158"/>
    </row>
    <row r="157" spans="2:9" s="126" customFormat="1" ht="15.95" customHeight="1">
      <c r="B157" s="154">
        <v>44484</v>
      </c>
      <c r="C157" s="155">
        <v>20518328</v>
      </c>
      <c r="D157" s="156" t="s">
        <v>1064</v>
      </c>
      <c r="E157" s="157">
        <v>4000000</v>
      </c>
      <c r="F157" s="157"/>
      <c r="G157" s="157">
        <f t="shared" si="2"/>
        <v>12433086.420000007</v>
      </c>
      <c r="H157" s="158"/>
      <c r="I157" s="158"/>
    </row>
    <row r="158" spans="2:9" s="126" customFormat="1" ht="15.95" customHeight="1">
      <c r="B158" s="154">
        <v>44484</v>
      </c>
      <c r="C158" s="155">
        <v>24317</v>
      </c>
      <c r="D158" s="156" t="s">
        <v>1982</v>
      </c>
      <c r="E158" s="157"/>
      <c r="F158" s="157">
        <v>51344.02</v>
      </c>
      <c r="G158" s="157">
        <f t="shared" si="2"/>
        <v>12381742.400000008</v>
      </c>
      <c r="H158" s="158"/>
      <c r="I158" s="158"/>
    </row>
    <row r="159" spans="2:9" s="126" customFormat="1" ht="15.95" customHeight="1">
      <c r="B159" s="154">
        <v>44484</v>
      </c>
      <c r="C159" s="155">
        <v>24337</v>
      </c>
      <c r="D159" s="156" t="s">
        <v>1993</v>
      </c>
      <c r="E159" s="157"/>
      <c r="F159" s="157">
        <v>80974.11</v>
      </c>
      <c r="G159" s="157">
        <f t="shared" si="2"/>
        <v>12300768.290000008</v>
      </c>
      <c r="H159" s="158"/>
      <c r="I159" s="158"/>
    </row>
    <row r="160" spans="2:9" s="126" customFormat="1" ht="15.95" customHeight="1">
      <c r="B160" s="154">
        <v>44484</v>
      </c>
      <c r="C160" s="155">
        <v>24339</v>
      </c>
      <c r="D160" s="156" t="s">
        <v>1995</v>
      </c>
      <c r="E160" s="157"/>
      <c r="F160" s="157">
        <v>84348.03</v>
      </c>
      <c r="G160" s="157">
        <f t="shared" si="2"/>
        <v>12216420.260000009</v>
      </c>
      <c r="H160" s="158"/>
      <c r="I160" s="158"/>
    </row>
    <row r="161" spans="2:9" s="126" customFormat="1" ht="15.95" customHeight="1">
      <c r="B161" s="154">
        <v>44484</v>
      </c>
      <c r="C161" s="155">
        <v>24329</v>
      </c>
      <c r="D161" s="156" t="s">
        <v>1224</v>
      </c>
      <c r="E161" s="157"/>
      <c r="F161" s="157">
        <v>284970.96999999997</v>
      </c>
      <c r="G161" s="157">
        <f t="shared" si="2"/>
        <v>11931449.290000008</v>
      </c>
      <c r="H161" s="158"/>
      <c r="I161" s="158"/>
    </row>
    <row r="162" spans="2:9" s="126" customFormat="1" ht="15.95" customHeight="1">
      <c r="B162" s="154">
        <v>44484</v>
      </c>
      <c r="C162" s="155">
        <v>24592868584</v>
      </c>
      <c r="D162" s="156" t="s">
        <v>1389</v>
      </c>
      <c r="E162" s="157"/>
      <c r="F162" s="157">
        <v>1400000</v>
      </c>
      <c r="G162" s="157">
        <f t="shared" si="2"/>
        <v>10531449.290000008</v>
      </c>
      <c r="H162" s="158"/>
      <c r="I162" s="158"/>
    </row>
    <row r="163" spans="2:9" s="126" customFormat="1" ht="15.95" customHeight="1">
      <c r="B163" s="154">
        <v>44484</v>
      </c>
      <c r="C163" s="155">
        <v>24592732461</v>
      </c>
      <c r="D163" s="156" t="s">
        <v>1389</v>
      </c>
      <c r="E163" s="157"/>
      <c r="F163" s="157">
        <v>15000</v>
      </c>
      <c r="G163" s="157">
        <f t="shared" si="2"/>
        <v>10516449.290000008</v>
      </c>
      <c r="H163" s="158"/>
      <c r="I163" s="158"/>
    </row>
    <row r="164" spans="2:9" s="126" customFormat="1" ht="15.95" customHeight="1">
      <c r="B164" s="154">
        <v>44484</v>
      </c>
      <c r="C164" s="155">
        <v>24592598288</v>
      </c>
      <c r="D164" s="156" t="s">
        <v>1389</v>
      </c>
      <c r="E164" s="157"/>
      <c r="F164" s="157">
        <v>2480000</v>
      </c>
      <c r="G164" s="157">
        <f t="shared" si="2"/>
        <v>8036449.2900000084</v>
      </c>
      <c r="H164" s="158"/>
      <c r="I164" s="158"/>
    </row>
    <row r="165" spans="2:9" s="126" customFormat="1" ht="15.95" customHeight="1">
      <c r="B165" s="154">
        <v>44487</v>
      </c>
      <c r="C165" s="155">
        <v>471771255</v>
      </c>
      <c r="D165" s="156" t="s">
        <v>1064</v>
      </c>
      <c r="E165" s="157">
        <v>5000</v>
      </c>
      <c r="F165" s="157"/>
      <c r="G165" s="157">
        <f t="shared" si="2"/>
        <v>8041449.2900000084</v>
      </c>
      <c r="H165" s="158"/>
      <c r="I165" s="158"/>
    </row>
    <row r="166" spans="2:9" s="126" customFormat="1" ht="15.95" customHeight="1">
      <c r="B166" s="154">
        <v>44487</v>
      </c>
      <c r="C166" s="155">
        <v>471771251</v>
      </c>
      <c r="D166" s="156" t="s">
        <v>1064</v>
      </c>
      <c r="E166" s="157">
        <v>609195</v>
      </c>
      <c r="F166" s="157"/>
      <c r="G166" s="157">
        <f t="shared" si="2"/>
        <v>8650644.2900000084</v>
      </c>
      <c r="H166" s="158"/>
      <c r="I166" s="158"/>
    </row>
    <row r="167" spans="2:9" s="126" customFormat="1" ht="15.95" customHeight="1">
      <c r="B167" s="154">
        <v>44487</v>
      </c>
      <c r="C167" s="155">
        <v>24617707595</v>
      </c>
      <c r="D167" s="156" t="s">
        <v>1064</v>
      </c>
      <c r="E167" s="157">
        <v>22100000</v>
      </c>
      <c r="F167" s="157"/>
      <c r="G167" s="157">
        <f t="shared" si="2"/>
        <v>30750644.290000007</v>
      </c>
      <c r="H167" s="158"/>
      <c r="I167" s="158"/>
    </row>
    <row r="168" spans="2:9" s="126" customFormat="1" ht="15.95" customHeight="1">
      <c r="B168" s="154">
        <v>44487</v>
      </c>
      <c r="C168" s="155">
        <v>20518305</v>
      </c>
      <c r="D168" s="156" t="s">
        <v>1064</v>
      </c>
      <c r="E168" s="157">
        <v>10000000</v>
      </c>
      <c r="F168" s="157"/>
      <c r="G168" s="157">
        <f t="shared" si="2"/>
        <v>40750644.290000007</v>
      </c>
      <c r="H168" s="158"/>
      <c r="I168" s="158"/>
    </row>
    <row r="169" spans="2:9" s="126" customFormat="1" ht="15.95" customHeight="1">
      <c r="B169" s="154">
        <v>44487</v>
      </c>
      <c r="C169" s="155">
        <v>24333</v>
      </c>
      <c r="D169" s="156" t="s">
        <v>1989</v>
      </c>
      <c r="E169" s="157"/>
      <c r="F169" s="157">
        <v>500000</v>
      </c>
      <c r="G169" s="157">
        <f t="shared" si="2"/>
        <v>40250644.290000007</v>
      </c>
      <c r="H169" s="158"/>
      <c r="I169" s="158"/>
    </row>
    <row r="170" spans="2:9" s="126" customFormat="1" ht="15.95" customHeight="1">
      <c r="B170" s="154">
        <v>44487</v>
      </c>
      <c r="C170" s="155">
        <v>24354</v>
      </c>
      <c r="D170" s="156" t="s">
        <v>1389</v>
      </c>
      <c r="E170" s="157"/>
      <c r="F170" s="157">
        <v>609195</v>
      </c>
      <c r="G170" s="157">
        <f t="shared" si="2"/>
        <v>39641449.290000007</v>
      </c>
      <c r="H170" s="158"/>
      <c r="I170" s="158"/>
    </row>
    <row r="171" spans="2:9" s="126" customFormat="1" ht="15.95" customHeight="1">
      <c r="B171" s="154">
        <v>44487</v>
      </c>
      <c r="C171" s="155">
        <v>24355</v>
      </c>
      <c r="D171" s="156" t="s">
        <v>1389</v>
      </c>
      <c r="E171" s="157"/>
      <c r="F171" s="157">
        <v>3000000</v>
      </c>
      <c r="G171" s="157">
        <f t="shared" si="2"/>
        <v>36641449.290000007</v>
      </c>
      <c r="H171" s="158"/>
      <c r="I171" s="158"/>
    </row>
    <row r="172" spans="2:9" s="126" customFormat="1" ht="15.95" customHeight="1">
      <c r="B172" s="154">
        <v>44487</v>
      </c>
      <c r="C172" s="155">
        <v>24341</v>
      </c>
      <c r="D172" s="156" t="s">
        <v>1809</v>
      </c>
      <c r="E172" s="157"/>
      <c r="F172" s="157">
        <v>6500000</v>
      </c>
      <c r="G172" s="157">
        <f t="shared" si="2"/>
        <v>30141449.290000007</v>
      </c>
      <c r="H172" s="158"/>
      <c r="I172" s="158"/>
    </row>
    <row r="173" spans="2:9" s="126" customFormat="1" ht="15.95" customHeight="1">
      <c r="B173" s="154">
        <v>44488</v>
      </c>
      <c r="C173" s="155">
        <v>24352</v>
      </c>
      <c r="D173" s="156" t="s">
        <v>1389</v>
      </c>
      <c r="E173" s="157"/>
      <c r="F173" s="157">
        <v>700000</v>
      </c>
      <c r="G173" s="157">
        <f t="shared" si="2"/>
        <v>29441449.290000007</v>
      </c>
      <c r="H173" s="158"/>
      <c r="I173" s="158"/>
    </row>
    <row r="174" spans="2:9" s="126" customFormat="1" ht="15.95" customHeight="1">
      <c r="B174" s="154">
        <v>44488</v>
      </c>
      <c r="C174" s="155">
        <v>24348</v>
      </c>
      <c r="D174" s="156" t="s">
        <v>1389</v>
      </c>
      <c r="E174" s="157"/>
      <c r="F174" s="157">
        <v>5000000</v>
      </c>
      <c r="G174" s="157">
        <f t="shared" si="2"/>
        <v>24441449.290000007</v>
      </c>
      <c r="H174" s="158"/>
      <c r="I174" s="158"/>
    </row>
    <row r="175" spans="2:9" s="126" customFormat="1" ht="15.95" customHeight="1">
      <c r="B175" s="154">
        <v>44488</v>
      </c>
      <c r="C175" s="155">
        <v>24349</v>
      </c>
      <c r="D175" s="156" t="s">
        <v>1389</v>
      </c>
      <c r="E175" s="157"/>
      <c r="F175" s="157">
        <v>5000000</v>
      </c>
      <c r="G175" s="157">
        <f t="shared" si="2"/>
        <v>19441449.290000007</v>
      </c>
      <c r="H175" s="158"/>
      <c r="I175" s="158"/>
    </row>
    <row r="176" spans="2:9" s="126" customFormat="1" ht="15.95" customHeight="1">
      <c r="B176" s="154">
        <v>44488</v>
      </c>
      <c r="C176" s="155">
        <v>24351</v>
      </c>
      <c r="D176" s="156" t="s">
        <v>1389</v>
      </c>
      <c r="E176" s="157"/>
      <c r="F176" s="157">
        <v>5000000</v>
      </c>
      <c r="G176" s="157">
        <f t="shared" si="2"/>
        <v>14441449.290000007</v>
      </c>
      <c r="H176" s="158"/>
      <c r="I176" s="158"/>
    </row>
    <row r="177" spans="2:9" s="126" customFormat="1" ht="15.95" customHeight="1">
      <c r="B177" s="154">
        <v>44488</v>
      </c>
      <c r="C177" s="155">
        <v>24353</v>
      </c>
      <c r="D177" s="156" t="s">
        <v>1389</v>
      </c>
      <c r="E177" s="157"/>
      <c r="F177" s="157">
        <v>5000000</v>
      </c>
      <c r="G177" s="157">
        <f t="shared" si="2"/>
        <v>9441449.2900000066</v>
      </c>
      <c r="H177" s="158"/>
      <c r="I177" s="158"/>
    </row>
    <row r="178" spans="2:9" s="126" customFormat="1" ht="15.95" customHeight="1">
      <c r="B178" s="154">
        <v>44488</v>
      </c>
      <c r="C178" s="155">
        <v>24624272235</v>
      </c>
      <c r="D178" s="156" t="s">
        <v>1389</v>
      </c>
      <c r="E178" s="157"/>
      <c r="F178" s="157">
        <v>70000</v>
      </c>
      <c r="G178" s="157">
        <f t="shared" si="2"/>
        <v>9371449.2900000066</v>
      </c>
      <c r="H178" s="158"/>
      <c r="I178" s="158"/>
    </row>
    <row r="179" spans="2:9" s="126" customFormat="1" ht="15.95" customHeight="1">
      <c r="B179" s="154">
        <v>44488</v>
      </c>
      <c r="C179" s="155">
        <v>24619787519</v>
      </c>
      <c r="D179" s="156" t="s">
        <v>1389</v>
      </c>
      <c r="E179" s="157"/>
      <c r="F179" s="157">
        <v>1300000</v>
      </c>
      <c r="G179" s="157">
        <f t="shared" si="2"/>
        <v>8071449.2900000066</v>
      </c>
      <c r="H179" s="158"/>
      <c r="I179" s="158"/>
    </row>
    <row r="180" spans="2:9" s="126" customFormat="1" ht="15.95" customHeight="1">
      <c r="B180" s="154">
        <v>44489</v>
      </c>
      <c r="C180" s="155">
        <v>20516701</v>
      </c>
      <c r="D180" s="156" t="s">
        <v>1064</v>
      </c>
      <c r="E180" s="157">
        <v>609195</v>
      </c>
      <c r="F180" s="157"/>
      <c r="G180" s="157">
        <f t="shared" si="2"/>
        <v>8680644.2900000066</v>
      </c>
      <c r="H180" s="158"/>
      <c r="I180" s="158"/>
    </row>
    <row r="181" spans="2:9" s="126" customFormat="1" ht="15.95" customHeight="1">
      <c r="B181" s="154">
        <v>44489</v>
      </c>
      <c r="C181" s="155">
        <v>20518329</v>
      </c>
      <c r="D181" s="156" t="s">
        <v>1064</v>
      </c>
      <c r="E181" s="157">
        <v>1293285</v>
      </c>
      <c r="F181" s="157"/>
      <c r="G181" s="157">
        <f t="shared" si="2"/>
        <v>9973929.2900000066</v>
      </c>
      <c r="H181" s="158"/>
      <c r="I181" s="158"/>
    </row>
    <row r="182" spans="2:9" s="126" customFormat="1" ht="15.95" customHeight="1">
      <c r="B182" s="154">
        <v>44489</v>
      </c>
      <c r="C182" s="155">
        <v>20516703</v>
      </c>
      <c r="D182" s="156" t="s">
        <v>1064</v>
      </c>
      <c r="E182" s="157">
        <v>5000000</v>
      </c>
      <c r="F182" s="157"/>
      <c r="G182" s="157">
        <f t="shared" si="2"/>
        <v>14973929.290000007</v>
      </c>
      <c r="H182" s="158"/>
      <c r="I182" s="158"/>
    </row>
    <row r="183" spans="2:9" s="126" customFormat="1" ht="15.95" customHeight="1">
      <c r="B183" s="154">
        <v>44489</v>
      </c>
      <c r="C183" s="155">
        <v>24311</v>
      </c>
      <c r="D183" s="156" t="s">
        <v>1976</v>
      </c>
      <c r="E183" s="157"/>
      <c r="F183" s="157">
        <v>14973.08</v>
      </c>
      <c r="G183" s="157">
        <f t="shared" si="2"/>
        <v>14958956.210000006</v>
      </c>
      <c r="H183" s="158"/>
      <c r="I183" s="158"/>
    </row>
    <row r="184" spans="2:9" s="126" customFormat="1" ht="15.95" customHeight="1">
      <c r="B184" s="154">
        <v>44489</v>
      </c>
      <c r="C184" s="155">
        <v>24287</v>
      </c>
      <c r="D184" s="156" t="s">
        <v>1965</v>
      </c>
      <c r="E184" s="157"/>
      <c r="F184" s="157">
        <v>36548.22</v>
      </c>
      <c r="G184" s="157">
        <f t="shared" si="2"/>
        <v>14922407.990000006</v>
      </c>
      <c r="H184" s="158"/>
      <c r="I184" s="158"/>
    </row>
    <row r="185" spans="2:9" s="126" customFormat="1" ht="15.95" customHeight="1">
      <c r="B185" s="154">
        <v>44489</v>
      </c>
      <c r="C185" s="155">
        <v>24228</v>
      </c>
      <c r="D185" s="156" t="s">
        <v>1913</v>
      </c>
      <c r="E185" s="157"/>
      <c r="F185" s="157">
        <v>52177.35</v>
      </c>
      <c r="G185" s="157">
        <f t="shared" si="2"/>
        <v>14870230.640000006</v>
      </c>
      <c r="H185" s="158"/>
      <c r="I185" s="158"/>
    </row>
    <row r="186" spans="2:9" s="126" customFormat="1" ht="15.95" customHeight="1">
      <c r="B186" s="154">
        <v>44489</v>
      </c>
      <c r="C186" s="155">
        <v>24307</v>
      </c>
      <c r="D186" s="156" t="s">
        <v>1972</v>
      </c>
      <c r="E186" s="157"/>
      <c r="F186" s="157">
        <v>74484.69</v>
      </c>
      <c r="G186" s="157">
        <f t="shared" si="2"/>
        <v>14795745.950000007</v>
      </c>
      <c r="H186" s="158"/>
      <c r="I186" s="158"/>
    </row>
    <row r="187" spans="2:9" s="126" customFormat="1" ht="15.95" customHeight="1">
      <c r="B187" s="154">
        <v>44489</v>
      </c>
      <c r="C187" s="155">
        <v>24345</v>
      </c>
      <c r="D187" s="156" t="s">
        <v>2000</v>
      </c>
      <c r="E187" s="157"/>
      <c r="F187" s="157">
        <v>76447.97</v>
      </c>
      <c r="G187" s="157">
        <f t="shared" si="2"/>
        <v>14719297.980000006</v>
      </c>
      <c r="H187" s="158"/>
      <c r="I187" s="158"/>
    </row>
    <row r="188" spans="2:9" s="126" customFormat="1" ht="15.95" customHeight="1">
      <c r="B188" s="154">
        <v>44489</v>
      </c>
      <c r="C188" s="155">
        <v>24357</v>
      </c>
      <c r="D188" s="156" t="s">
        <v>2004</v>
      </c>
      <c r="E188" s="157"/>
      <c r="F188" s="157">
        <v>77561.759999999995</v>
      </c>
      <c r="G188" s="157">
        <f t="shared" si="2"/>
        <v>14641736.220000006</v>
      </c>
      <c r="H188" s="158"/>
      <c r="I188" s="158"/>
    </row>
    <row r="189" spans="2:9" s="126" customFormat="1" ht="15.95" customHeight="1">
      <c r="B189" s="154">
        <v>44489</v>
      </c>
      <c r="C189" s="155">
        <v>24336</v>
      </c>
      <c r="D189" s="156" t="s">
        <v>1992</v>
      </c>
      <c r="E189" s="157"/>
      <c r="F189" s="157">
        <v>88108.29</v>
      </c>
      <c r="G189" s="157">
        <f t="shared" si="2"/>
        <v>14553627.930000007</v>
      </c>
      <c r="H189" s="158"/>
      <c r="I189" s="158"/>
    </row>
    <row r="190" spans="2:9" s="126" customFormat="1" ht="15.95" customHeight="1">
      <c r="B190" s="154">
        <v>44489</v>
      </c>
      <c r="C190" s="155">
        <v>24335</v>
      </c>
      <c r="D190" s="156" t="s">
        <v>1991</v>
      </c>
      <c r="E190" s="157"/>
      <c r="F190" s="157">
        <v>96456.85</v>
      </c>
      <c r="G190" s="157">
        <f t="shared" si="2"/>
        <v>14457171.080000008</v>
      </c>
      <c r="H190" s="158"/>
      <c r="I190" s="158"/>
    </row>
    <row r="191" spans="2:9" s="126" customFormat="1" ht="15.95" customHeight="1">
      <c r="B191" s="154">
        <v>44489</v>
      </c>
      <c r="C191" s="155">
        <v>24346</v>
      </c>
      <c r="D191" s="156" t="s">
        <v>2001</v>
      </c>
      <c r="E191" s="157"/>
      <c r="F191" s="157">
        <v>100011.17</v>
      </c>
      <c r="G191" s="157">
        <f t="shared" si="2"/>
        <v>14357159.910000008</v>
      </c>
      <c r="H191" s="158"/>
      <c r="I191" s="158"/>
    </row>
    <row r="192" spans="2:9" s="126" customFormat="1" ht="15.95" customHeight="1">
      <c r="B192" s="154">
        <v>44489</v>
      </c>
      <c r="C192" s="155">
        <v>24344</v>
      </c>
      <c r="D192" s="156" t="s">
        <v>1999</v>
      </c>
      <c r="E192" s="157"/>
      <c r="F192" s="157">
        <v>105497.23</v>
      </c>
      <c r="G192" s="157">
        <f t="shared" si="2"/>
        <v>14251662.680000007</v>
      </c>
      <c r="H192" s="158"/>
      <c r="I192" s="158"/>
    </row>
    <row r="193" spans="2:9" s="126" customFormat="1" ht="15.95" customHeight="1">
      <c r="B193" s="154">
        <v>44489</v>
      </c>
      <c r="C193" s="155">
        <v>24334</v>
      </c>
      <c r="D193" s="156" t="s">
        <v>1990</v>
      </c>
      <c r="E193" s="157"/>
      <c r="F193" s="157">
        <v>115090.56</v>
      </c>
      <c r="G193" s="157">
        <f t="shared" si="2"/>
        <v>14136572.120000007</v>
      </c>
      <c r="H193" s="158"/>
      <c r="I193" s="158"/>
    </row>
    <row r="194" spans="2:9" s="126" customFormat="1" ht="15.95" customHeight="1">
      <c r="B194" s="154">
        <v>44489</v>
      </c>
      <c r="C194" s="155">
        <v>24358</v>
      </c>
      <c r="D194" s="156" t="s">
        <v>2005</v>
      </c>
      <c r="E194" s="157"/>
      <c r="F194" s="157">
        <v>133645.94</v>
      </c>
      <c r="G194" s="157">
        <f t="shared" si="2"/>
        <v>14002926.180000007</v>
      </c>
      <c r="H194" s="158"/>
      <c r="I194" s="158"/>
    </row>
    <row r="195" spans="2:9" s="126" customFormat="1" ht="15.95" customHeight="1">
      <c r="B195" s="154">
        <v>44489</v>
      </c>
      <c r="C195" s="155">
        <v>24347</v>
      </c>
      <c r="D195" s="156" t="s">
        <v>2002</v>
      </c>
      <c r="E195" s="157"/>
      <c r="F195" s="157">
        <v>156047.59</v>
      </c>
      <c r="G195" s="157">
        <f t="shared" si="2"/>
        <v>13846878.590000007</v>
      </c>
      <c r="H195" s="158"/>
      <c r="I195" s="158"/>
    </row>
    <row r="196" spans="2:9" s="126" customFormat="1" ht="15.95" customHeight="1">
      <c r="B196" s="154">
        <v>44489</v>
      </c>
      <c r="C196" s="155">
        <v>24360</v>
      </c>
      <c r="D196" s="156" t="s">
        <v>1158</v>
      </c>
      <c r="E196" s="157"/>
      <c r="F196" s="157">
        <v>1481318.99</v>
      </c>
      <c r="G196" s="157">
        <f t="shared" si="2"/>
        <v>12365559.600000007</v>
      </c>
      <c r="H196" s="158"/>
      <c r="I196" s="158"/>
    </row>
    <row r="197" spans="2:9" s="126" customFormat="1" ht="15.95" customHeight="1">
      <c r="B197" s="154">
        <v>44489</v>
      </c>
      <c r="C197" s="155">
        <v>24359</v>
      </c>
      <c r="D197" s="156" t="s">
        <v>1158</v>
      </c>
      <c r="E197" s="157"/>
      <c r="F197" s="157">
        <v>2425842.96</v>
      </c>
      <c r="G197" s="157">
        <f t="shared" si="2"/>
        <v>9939716.640000008</v>
      </c>
      <c r="H197" s="158"/>
      <c r="I197" s="158"/>
    </row>
    <row r="198" spans="2:9" s="126" customFormat="1" ht="15.95" customHeight="1">
      <c r="B198" s="154">
        <v>44489</v>
      </c>
      <c r="C198" s="155">
        <v>24631495520</v>
      </c>
      <c r="D198" s="156" t="s">
        <v>1389</v>
      </c>
      <c r="E198" s="157"/>
      <c r="F198" s="157">
        <v>1860000</v>
      </c>
      <c r="G198" s="157">
        <f t="shared" si="2"/>
        <v>8079716.640000008</v>
      </c>
      <c r="H198" s="158"/>
      <c r="I198" s="158"/>
    </row>
    <row r="199" spans="2:9" s="126" customFormat="1" ht="15.95" customHeight="1">
      <c r="B199" s="154">
        <v>44490</v>
      </c>
      <c r="C199" s="155">
        <v>471771520</v>
      </c>
      <c r="D199" s="156" t="s">
        <v>1064</v>
      </c>
      <c r="E199" s="157">
        <v>420270</v>
      </c>
      <c r="F199" s="157"/>
      <c r="G199" s="157">
        <f t="shared" si="2"/>
        <v>8499986.640000008</v>
      </c>
      <c r="H199" s="158"/>
      <c r="I199" s="158"/>
    </row>
    <row r="200" spans="2:9" s="126" customFormat="1" ht="15.95" customHeight="1">
      <c r="B200" s="154">
        <v>44490</v>
      </c>
      <c r="C200" s="155">
        <v>471771519</v>
      </c>
      <c r="D200" s="156" t="s">
        <v>1064</v>
      </c>
      <c r="E200" s="157">
        <v>558720</v>
      </c>
      <c r="F200" s="157"/>
      <c r="G200" s="157">
        <f t="shared" si="2"/>
        <v>9058706.640000008</v>
      </c>
      <c r="H200" s="158"/>
      <c r="I200" s="158"/>
    </row>
    <row r="201" spans="2:9" s="126" customFormat="1" ht="15.95" customHeight="1">
      <c r="B201" s="154">
        <v>44490</v>
      </c>
      <c r="C201" s="155">
        <v>471771517</v>
      </c>
      <c r="D201" s="156" t="s">
        <v>1064</v>
      </c>
      <c r="E201" s="157">
        <v>627515</v>
      </c>
      <c r="F201" s="157"/>
      <c r="G201" s="157">
        <f t="shared" si="2"/>
        <v>9686221.640000008</v>
      </c>
      <c r="H201" s="158"/>
      <c r="I201" s="158"/>
    </row>
    <row r="202" spans="2:9" s="126" customFormat="1" ht="15.95" customHeight="1">
      <c r="B202" s="154">
        <v>44490</v>
      </c>
      <c r="C202" s="155">
        <v>24408</v>
      </c>
      <c r="D202" s="156" t="s">
        <v>1389</v>
      </c>
      <c r="E202" s="157"/>
      <c r="F202" s="157">
        <v>627515</v>
      </c>
      <c r="G202" s="157">
        <f t="shared" si="2"/>
        <v>9058706.640000008</v>
      </c>
      <c r="H202" s="158"/>
      <c r="I202" s="158"/>
    </row>
    <row r="203" spans="2:9" s="126" customFormat="1" ht="15.95" customHeight="1">
      <c r="B203" s="154">
        <v>44490</v>
      </c>
      <c r="C203" s="155">
        <v>24402</v>
      </c>
      <c r="D203" s="156" t="s">
        <v>1389</v>
      </c>
      <c r="E203" s="157"/>
      <c r="F203" s="157">
        <v>978990</v>
      </c>
      <c r="G203" s="157">
        <f t="shared" si="2"/>
        <v>8079716.640000008</v>
      </c>
      <c r="H203" s="158"/>
      <c r="I203" s="158"/>
    </row>
    <row r="204" spans="2:9" s="126" customFormat="1" ht="15.95" customHeight="1">
      <c r="B204" s="154">
        <v>44491</v>
      </c>
      <c r="C204" s="155">
        <v>20516712</v>
      </c>
      <c r="D204" s="156" t="s">
        <v>1064</v>
      </c>
      <c r="E204" s="157">
        <v>627515</v>
      </c>
      <c r="F204" s="157"/>
      <c r="G204" s="157">
        <f t="shared" si="2"/>
        <v>8707231.640000008</v>
      </c>
      <c r="H204" s="158"/>
      <c r="I204" s="158"/>
    </row>
    <row r="205" spans="2:9" s="126" customFormat="1" ht="15.95" customHeight="1">
      <c r="B205" s="154">
        <v>44491</v>
      </c>
      <c r="C205" s="155">
        <v>20516702</v>
      </c>
      <c r="D205" s="156" t="s">
        <v>1064</v>
      </c>
      <c r="E205" s="157">
        <v>3000000</v>
      </c>
      <c r="F205" s="157"/>
      <c r="G205" s="157">
        <f t="shared" si="2"/>
        <v>11707231.640000008</v>
      </c>
      <c r="H205" s="158"/>
      <c r="I205" s="158"/>
    </row>
    <row r="206" spans="2:9" s="126" customFormat="1" ht="15.95" customHeight="1">
      <c r="B206" s="154">
        <v>44491</v>
      </c>
      <c r="C206" s="155">
        <v>20518306</v>
      </c>
      <c r="D206" s="156" t="s">
        <v>1064</v>
      </c>
      <c r="E206" s="157">
        <v>10000000</v>
      </c>
      <c r="F206" s="157"/>
      <c r="G206" s="157">
        <f t="shared" si="2"/>
        <v>21707231.640000008</v>
      </c>
      <c r="H206" s="158"/>
      <c r="I206" s="158"/>
    </row>
    <row r="207" spans="2:9" s="126" customFormat="1" ht="15.95" customHeight="1">
      <c r="B207" s="154">
        <v>44491</v>
      </c>
      <c r="C207" s="155">
        <v>20518307</v>
      </c>
      <c r="D207" s="156" t="s">
        <v>1064</v>
      </c>
      <c r="E207" s="157">
        <v>10000000</v>
      </c>
      <c r="F207" s="157"/>
      <c r="G207" s="157">
        <f t="shared" si="2"/>
        <v>31707231.640000008</v>
      </c>
      <c r="H207" s="158"/>
      <c r="I207" s="158"/>
    </row>
    <row r="208" spans="2:9" s="126" customFormat="1" ht="15.95" customHeight="1">
      <c r="B208" s="154">
        <v>44491</v>
      </c>
      <c r="C208" s="155">
        <v>24374</v>
      </c>
      <c r="D208" s="327" t="s">
        <v>1856</v>
      </c>
      <c r="E208" s="157"/>
      <c r="F208" s="157">
        <v>18830</v>
      </c>
      <c r="G208" s="157">
        <f t="shared" si="2"/>
        <v>31688401.640000008</v>
      </c>
      <c r="H208" s="158"/>
      <c r="I208" s="158"/>
    </row>
    <row r="209" spans="2:9" s="126" customFormat="1" ht="15.95" customHeight="1">
      <c r="B209" s="154">
        <v>44491</v>
      </c>
      <c r="C209" s="155">
        <v>24403</v>
      </c>
      <c r="D209" s="156" t="s">
        <v>1907</v>
      </c>
      <c r="E209" s="157"/>
      <c r="F209" s="157">
        <v>20000</v>
      </c>
      <c r="G209" s="157">
        <f t="shared" si="2"/>
        <v>31668401.640000008</v>
      </c>
      <c r="H209" s="158"/>
      <c r="I209" s="158"/>
    </row>
    <row r="210" spans="2:9" s="126" customFormat="1" ht="15.95" customHeight="1">
      <c r="B210" s="154">
        <v>44491</v>
      </c>
      <c r="C210" s="155">
        <v>24361</v>
      </c>
      <c r="D210" s="327" t="s">
        <v>1381</v>
      </c>
      <c r="E210" s="157"/>
      <c r="F210" s="157">
        <v>24373.13</v>
      </c>
      <c r="G210" s="157">
        <f t="shared" ref="G210:G273" si="3">+G209+E210-F210</f>
        <v>31644028.510000009</v>
      </c>
      <c r="H210" s="158"/>
      <c r="I210" s="158"/>
    </row>
    <row r="211" spans="2:9" s="126" customFormat="1" ht="15.95" customHeight="1">
      <c r="B211" s="154">
        <v>44491</v>
      </c>
      <c r="C211" s="155">
        <v>24404</v>
      </c>
      <c r="D211" s="327" t="s">
        <v>1334</v>
      </c>
      <c r="E211" s="157"/>
      <c r="F211" s="157">
        <v>30056.38</v>
      </c>
      <c r="G211" s="157">
        <f t="shared" si="3"/>
        <v>31613972.13000001</v>
      </c>
      <c r="H211" s="158"/>
      <c r="I211" s="158"/>
    </row>
    <row r="212" spans="2:9" s="126" customFormat="1" ht="15.95" customHeight="1">
      <c r="B212" s="154">
        <v>44491</v>
      </c>
      <c r="C212" s="155">
        <v>24365</v>
      </c>
      <c r="D212" s="327" t="s">
        <v>1850</v>
      </c>
      <c r="E212" s="157"/>
      <c r="F212" s="157">
        <v>123244.58</v>
      </c>
      <c r="G212" s="157">
        <f t="shared" si="3"/>
        <v>31490727.550000012</v>
      </c>
      <c r="H212" s="158"/>
      <c r="I212" s="158"/>
    </row>
    <row r="213" spans="2:9" s="126" customFormat="1" ht="15.95" customHeight="1">
      <c r="B213" s="154">
        <v>44491</v>
      </c>
      <c r="C213" s="155">
        <v>24364</v>
      </c>
      <c r="D213" s="327" t="s">
        <v>1900</v>
      </c>
      <c r="E213" s="157"/>
      <c r="F213" s="157">
        <v>130734</v>
      </c>
      <c r="G213" s="157">
        <f t="shared" si="3"/>
        <v>31359993.550000012</v>
      </c>
      <c r="H213" s="158"/>
      <c r="I213" s="158"/>
    </row>
    <row r="214" spans="2:9" s="126" customFormat="1" ht="15.95" customHeight="1">
      <c r="B214" s="154">
        <v>44491</v>
      </c>
      <c r="C214" s="155">
        <v>24375</v>
      </c>
      <c r="D214" s="327" t="s">
        <v>1812</v>
      </c>
      <c r="E214" s="157"/>
      <c r="F214" s="157">
        <v>211427.54</v>
      </c>
      <c r="G214" s="157">
        <f t="shared" si="3"/>
        <v>31148566.010000013</v>
      </c>
      <c r="H214" s="158"/>
      <c r="I214" s="158"/>
    </row>
    <row r="215" spans="2:9" s="126" customFormat="1" ht="15.95" customHeight="1">
      <c r="B215" s="154">
        <v>44491</v>
      </c>
      <c r="C215" s="155">
        <v>24371</v>
      </c>
      <c r="D215" s="327" t="s">
        <v>423</v>
      </c>
      <c r="E215" s="157"/>
      <c r="F215" s="157">
        <v>212880.87</v>
      </c>
      <c r="G215" s="157">
        <f t="shared" si="3"/>
        <v>30935685.140000012</v>
      </c>
      <c r="H215" s="158"/>
      <c r="I215" s="158"/>
    </row>
    <row r="216" spans="2:9" s="126" customFormat="1" ht="15.95" customHeight="1">
      <c r="B216" s="154">
        <v>44491</v>
      </c>
      <c r="C216" s="155">
        <v>24460</v>
      </c>
      <c r="D216" s="327" t="s">
        <v>1070</v>
      </c>
      <c r="E216" s="157"/>
      <c r="F216" s="157">
        <v>267854.06</v>
      </c>
      <c r="G216" s="157">
        <f t="shared" si="3"/>
        <v>30667831.080000013</v>
      </c>
      <c r="H216" s="158"/>
      <c r="I216" s="158"/>
    </row>
    <row r="217" spans="2:9" s="126" customFormat="1" ht="15.95" customHeight="1">
      <c r="B217" s="154">
        <v>44491</v>
      </c>
      <c r="C217" s="155">
        <v>24366</v>
      </c>
      <c r="D217" s="327" t="s">
        <v>1131</v>
      </c>
      <c r="E217" s="157"/>
      <c r="F217" s="157">
        <v>474009</v>
      </c>
      <c r="G217" s="157">
        <f t="shared" si="3"/>
        <v>30193822.080000013</v>
      </c>
      <c r="H217" s="158"/>
      <c r="I217" s="158"/>
    </row>
    <row r="218" spans="2:9" s="126" customFormat="1" ht="15.95" customHeight="1">
      <c r="B218" s="154">
        <v>44491</v>
      </c>
      <c r="C218" s="155">
        <v>24363</v>
      </c>
      <c r="D218" s="327" t="s">
        <v>1332</v>
      </c>
      <c r="E218" s="157"/>
      <c r="F218" s="157">
        <v>490097.41</v>
      </c>
      <c r="G218" s="157">
        <f t="shared" si="3"/>
        <v>29703724.670000013</v>
      </c>
      <c r="H218" s="158"/>
      <c r="I218" s="158"/>
    </row>
    <row r="219" spans="2:9" s="126" customFormat="1" ht="15.95" customHeight="1">
      <c r="B219" s="154">
        <v>44491</v>
      </c>
      <c r="C219" s="155">
        <v>24362</v>
      </c>
      <c r="D219" s="327" t="s">
        <v>1319</v>
      </c>
      <c r="E219" s="157"/>
      <c r="F219" s="157">
        <v>651305.06000000006</v>
      </c>
      <c r="G219" s="157">
        <f t="shared" si="3"/>
        <v>29052419.610000014</v>
      </c>
      <c r="H219" s="158"/>
      <c r="I219" s="158"/>
    </row>
    <row r="220" spans="2:9" s="126" customFormat="1" ht="15.95" customHeight="1">
      <c r="B220" s="154">
        <v>44491</v>
      </c>
      <c r="C220" s="155">
        <v>24368</v>
      </c>
      <c r="D220" s="327" t="s">
        <v>1903</v>
      </c>
      <c r="E220" s="157"/>
      <c r="F220" s="157">
        <v>744477.9</v>
      </c>
      <c r="G220" s="157">
        <f t="shared" si="3"/>
        <v>28307941.710000016</v>
      </c>
      <c r="H220" s="158"/>
      <c r="I220" s="158"/>
    </row>
    <row r="221" spans="2:9" s="126" customFormat="1" ht="15.95" customHeight="1">
      <c r="B221" s="154">
        <v>44491</v>
      </c>
      <c r="C221" s="155">
        <v>24406</v>
      </c>
      <c r="D221" s="327" t="s">
        <v>1184</v>
      </c>
      <c r="E221" s="157"/>
      <c r="F221" s="157">
        <v>983886.83</v>
      </c>
      <c r="G221" s="157">
        <f t="shared" si="3"/>
        <v>27324054.880000018</v>
      </c>
      <c r="H221" s="158"/>
      <c r="I221" s="158"/>
    </row>
    <row r="222" spans="2:9" s="126" customFormat="1" ht="15.95" customHeight="1">
      <c r="B222" s="154">
        <v>44491</v>
      </c>
      <c r="C222" s="155">
        <v>24423</v>
      </c>
      <c r="D222" s="327" t="s">
        <v>1103</v>
      </c>
      <c r="E222" s="157"/>
      <c r="F222" s="157">
        <v>1596000</v>
      </c>
      <c r="G222" s="157">
        <f t="shared" si="3"/>
        <v>25728054.880000018</v>
      </c>
      <c r="H222" s="158"/>
      <c r="I222" s="158"/>
    </row>
    <row r="223" spans="2:9" s="126" customFormat="1" ht="15.95" customHeight="1">
      <c r="B223" s="154">
        <v>44491</v>
      </c>
      <c r="C223" s="155">
        <v>24293</v>
      </c>
      <c r="D223" s="327" t="s">
        <v>1189</v>
      </c>
      <c r="E223" s="157"/>
      <c r="F223" s="157">
        <v>2363790</v>
      </c>
      <c r="G223" s="157">
        <f t="shared" si="3"/>
        <v>23364264.880000018</v>
      </c>
      <c r="H223" s="158"/>
      <c r="I223" s="158"/>
    </row>
    <row r="224" spans="2:9" s="126" customFormat="1" ht="15.95" customHeight="1">
      <c r="B224" s="154">
        <v>44491</v>
      </c>
      <c r="C224" s="155">
        <v>24410</v>
      </c>
      <c r="D224" s="327" t="s">
        <v>1204</v>
      </c>
      <c r="E224" s="157"/>
      <c r="F224" s="157">
        <v>10456300.4</v>
      </c>
      <c r="G224" s="157">
        <f t="shared" si="3"/>
        <v>12907964.480000017</v>
      </c>
      <c r="H224" s="158"/>
      <c r="I224" s="158"/>
    </row>
    <row r="225" spans="2:9" s="126" customFormat="1" ht="15.95" customHeight="1">
      <c r="B225" s="154">
        <v>44491</v>
      </c>
      <c r="C225" s="155">
        <v>24650810347</v>
      </c>
      <c r="D225" s="156" t="s">
        <v>1389</v>
      </c>
      <c r="E225" s="157"/>
      <c r="F225" s="157">
        <v>4800000</v>
      </c>
      <c r="G225" s="157">
        <f t="shared" si="3"/>
        <v>8107964.4800000172</v>
      </c>
      <c r="H225" s="158"/>
      <c r="I225" s="158"/>
    </row>
    <row r="226" spans="2:9" s="126" customFormat="1" ht="15.95" customHeight="1">
      <c r="B226" s="154">
        <v>44494</v>
      </c>
      <c r="C226" s="155">
        <v>471769935</v>
      </c>
      <c r="D226" s="156" t="s">
        <v>1064</v>
      </c>
      <c r="E226" s="157">
        <v>472997</v>
      </c>
      <c r="F226" s="157"/>
      <c r="G226" s="157">
        <f t="shared" si="3"/>
        <v>8580961.4800000172</v>
      </c>
      <c r="H226" s="158"/>
      <c r="I226" s="158"/>
    </row>
    <row r="227" spans="2:9" s="126" customFormat="1" ht="15.95" customHeight="1">
      <c r="B227" s="154">
        <v>44494</v>
      </c>
      <c r="C227" s="155">
        <v>471769933</v>
      </c>
      <c r="D227" s="156" t="s">
        <v>1064</v>
      </c>
      <c r="E227" s="157">
        <v>662785</v>
      </c>
      <c r="F227" s="157"/>
      <c r="G227" s="157">
        <f t="shared" si="3"/>
        <v>9243746.4800000172</v>
      </c>
      <c r="H227" s="158"/>
      <c r="I227" s="158"/>
    </row>
    <row r="228" spans="2:9" s="126" customFormat="1" ht="15.95" customHeight="1">
      <c r="B228" s="154">
        <v>44494</v>
      </c>
      <c r="C228" s="155">
        <v>24675895785</v>
      </c>
      <c r="D228" s="156" t="s">
        <v>1064</v>
      </c>
      <c r="E228" s="157">
        <v>800000</v>
      </c>
      <c r="F228" s="157"/>
      <c r="G228" s="157">
        <f t="shared" si="3"/>
        <v>10043746.480000017</v>
      </c>
      <c r="H228" s="158"/>
      <c r="I228" s="158"/>
    </row>
    <row r="229" spans="2:9" s="126" customFormat="1" ht="15.95" customHeight="1">
      <c r="B229" s="154">
        <v>44494</v>
      </c>
      <c r="C229" s="155">
        <v>20516706</v>
      </c>
      <c r="D229" s="156" t="s">
        <v>1064</v>
      </c>
      <c r="E229" s="157">
        <v>700000</v>
      </c>
      <c r="F229" s="157"/>
      <c r="G229" s="157">
        <f t="shared" si="3"/>
        <v>10743746.480000017</v>
      </c>
      <c r="H229" s="158"/>
      <c r="I229" s="158"/>
    </row>
    <row r="230" spans="2:9" s="126" customFormat="1" ht="15.95" customHeight="1">
      <c r="B230" s="154">
        <v>44494</v>
      </c>
      <c r="C230" s="155">
        <v>20518308</v>
      </c>
      <c r="D230" s="156" t="s">
        <v>1064</v>
      </c>
      <c r="E230" s="157">
        <v>10000000</v>
      </c>
      <c r="F230" s="157"/>
      <c r="G230" s="157">
        <f t="shared" si="3"/>
        <v>20743746.480000019</v>
      </c>
      <c r="H230" s="158"/>
      <c r="I230" s="158"/>
    </row>
    <row r="231" spans="2:9" s="126" customFormat="1" ht="15.95" customHeight="1">
      <c r="B231" s="154">
        <v>44494</v>
      </c>
      <c r="C231" s="155">
        <v>20516710</v>
      </c>
      <c r="D231" s="156" t="s">
        <v>1064</v>
      </c>
      <c r="E231" s="157">
        <v>978990</v>
      </c>
      <c r="F231" s="157"/>
      <c r="G231" s="157">
        <f t="shared" si="3"/>
        <v>21722736.480000019</v>
      </c>
      <c r="H231" s="158"/>
      <c r="I231" s="158"/>
    </row>
    <row r="232" spans="2:9" s="126" customFormat="1" ht="15.95" customHeight="1">
      <c r="B232" s="154">
        <v>44494</v>
      </c>
      <c r="C232" s="155">
        <v>24417</v>
      </c>
      <c r="D232" s="327" t="s">
        <v>1142</v>
      </c>
      <c r="E232" s="157"/>
      <c r="F232" s="157">
        <v>13500</v>
      </c>
      <c r="G232" s="157">
        <f t="shared" si="3"/>
        <v>21709236.480000019</v>
      </c>
      <c r="H232" s="158"/>
      <c r="I232" s="158"/>
    </row>
    <row r="233" spans="2:9" s="126" customFormat="1" ht="15.95" customHeight="1">
      <c r="B233" s="154">
        <v>44494</v>
      </c>
      <c r="C233" s="155">
        <v>24389</v>
      </c>
      <c r="D233" s="327" t="s">
        <v>1145</v>
      </c>
      <c r="E233" s="157"/>
      <c r="F233" s="157">
        <v>18000</v>
      </c>
      <c r="G233" s="157">
        <f t="shared" si="3"/>
        <v>21691236.480000019</v>
      </c>
      <c r="H233" s="158"/>
      <c r="I233" s="158"/>
    </row>
    <row r="234" spans="2:9" s="126" customFormat="1" ht="15.95" customHeight="1">
      <c r="B234" s="154">
        <v>44494</v>
      </c>
      <c r="C234" s="155">
        <v>24392</v>
      </c>
      <c r="D234" s="327" t="s">
        <v>1858</v>
      </c>
      <c r="E234" s="157"/>
      <c r="F234" s="157">
        <v>18000</v>
      </c>
      <c r="G234" s="157">
        <f t="shared" si="3"/>
        <v>21673236.480000019</v>
      </c>
      <c r="H234" s="158"/>
      <c r="I234" s="158"/>
    </row>
    <row r="235" spans="2:9" s="126" customFormat="1" ht="15.95" customHeight="1">
      <c r="B235" s="154">
        <v>44494</v>
      </c>
      <c r="C235" s="155">
        <v>24446</v>
      </c>
      <c r="D235" s="327" t="s">
        <v>1851</v>
      </c>
      <c r="E235" s="157"/>
      <c r="F235" s="157">
        <v>18000</v>
      </c>
      <c r="G235" s="157">
        <f t="shared" si="3"/>
        <v>21655236.480000019</v>
      </c>
      <c r="H235" s="158"/>
      <c r="I235" s="158"/>
    </row>
    <row r="236" spans="2:9" s="126" customFormat="1" ht="15.95" customHeight="1">
      <c r="B236" s="154">
        <v>44494</v>
      </c>
      <c r="C236" s="155">
        <v>24380</v>
      </c>
      <c r="D236" s="327" t="s">
        <v>1854</v>
      </c>
      <c r="E236" s="157"/>
      <c r="F236" s="157">
        <v>22600</v>
      </c>
      <c r="G236" s="157">
        <f t="shared" si="3"/>
        <v>21632636.480000019</v>
      </c>
      <c r="H236" s="158"/>
      <c r="I236" s="158"/>
    </row>
    <row r="237" spans="2:9" s="126" customFormat="1" ht="15.95" customHeight="1">
      <c r="B237" s="154">
        <v>44494</v>
      </c>
      <c r="C237" s="155">
        <v>24397</v>
      </c>
      <c r="D237" s="327" t="s">
        <v>1148</v>
      </c>
      <c r="E237" s="157"/>
      <c r="F237" s="157">
        <v>27000</v>
      </c>
      <c r="G237" s="157">
        <f t="shared" si="3"/>
        <v>21605636.480000019</v>
      </c>
      <c r="H237" s="158"/>
      <c r="I237" s="158"/>
    </row>
    <row r="238" spans="2:9" s="126" customFormat="1" ht="15.95" customHeight="1">
      <c r="B238" s="154">
        <v>44494</v>
      </c>
      <c r="C238" s="155">
        <v>24415</v>
      </c>
      <c r="D238" s="327" t="s">
        <v>1149</v>
      </c>
      <c r="E238" s="157"/>
      <c r="F238" s="157">
        <v>27000</v>
      </c>
      <c r="G238" s="157">
        <f t="shared" si="3"/>
        <v>21578636.480000019</v>
      </c>
      <c r="H238" s="158"/>
      <c r="I238" s="158"/>
    </row>
    <row r="239" spans="2:9" s="126" customFormat="1" ht="15.95" customHeight="1">
      <c r="B239" s="154">
        <v>44494</v>
      </c>
      <c r="C239" s="155">
        <v>24372</v>
      </c>
      <c r="D239" s="327" t="s">
        <v>1485</v>
      </c>
      <c r="E239" s="157"/>
      <c r="F239" s="157">
        <v>27900</v>
      </c>
      <c r="G239" s="157">
        <f t="shared" si="3"/>
        <v>21550736.480000019</v>
      </c>
      <c r="H239" s="158"/>
      <c r="I239" s="158"/>
    </row>
    <row r="240" spans="2:9" s="126" customFormat="1" ht="15.95" customHeight="1">
      <c r="B240" s="154">
        <v>44494</v>
      </c>
      <c r="C240" s="155">
        <v>24449</v>
      </c>
      <c r="D240" s="327" t="s">
        <v>1324</v>
      </c>
      <c r="E240" s="157"/>
      <c r="F240" s="157">
        <v>28250</v>
      </c>
      <c r="G240" s="157">
        <f t="shared" si="3"/>
        <v>21522486.480000019</v>
      </c>
      <c r="H240" s="158"/>
      <c r="I240" s="158"/>
    </row>
    <row r="241" spans="2:9" s="126" customFormat="1" ht="15.95" customHeight="1">
      <c r="B241" s="154">
        <v>44494</v>
      </c>
      <c r="C241" s="155">
        <v>24382</v>
      </c>
      <c r="D241" s="327" t="s">
        <v>2021</v>
      </c>
      <c r="E241" s="157"/>
      <c r="F241" s="157">
        <v>31500</v>
      </c>
      <c r="G241" s="157">
        <f t="shared" si="3"/>
        <v>21490986.480000019</v>
      </c>
      <c r="H241" s="158"/>
      <c r="I241" s="158"/>
    </row>
    <row r="242" spans="2:9" s="126" customFormat="1" ht="15.95" customHeight="1">
      <c r="B242" s="154">
        <v>44494</v>
      </c>
      <c r="C242" s="155">
        <v>24385</v>
      </c>
      <c r="D242" s="327" t="s">
        <v>1151</v>
      </c>
      <c r="E242" s="157"/>
      <c r="F242" s="157">
        <v>33900</v>
      </c>
      <c r="G242" s="157">
        <f t="shared" si="3"/>
        <v>21457086.480000019</v>
      </c>
      <c r="H242" s="158"/>
      <c r="I242" s="158"/>
    </row>
    <row r="243" spans="2:9" s="126" customFormat="1" ht="15.95" customHeight="1">
      <c r="B243" s="154">
        <v>44494</v>
      </c>
      <c r="C243" s="155">
        <v>24390</v>
      </c>
      <c r="D243" s="327" t="s">
        <v>1171</v>
      </c>
      <c r="E243" s="157"/>
      <c r="F243" s="157">
        <v>33900</v>
      </c>
      <c r="G243" s="157">
        <f t="shared" si="3"/>
        <v>21423186.480000019</v>
      </c>
      <c r="H243" s="158"/>
      <c r="I243" s="158"/>
    </row>
    <row r="244" spans="2:9" s="126" customFormat="1" ht="15.95" customHeight="1">
      <c r="B244" s="154">
        <v>44494</v>
      </c>
      <c r="C244" s="155">
        <v>24398</v>
      </c>
      <c r="D244" s="327" t="s">
        <v>1165</v>
      </c>
      <c r="E244" s="157"/>
      <c r="F244" s="157">
        <v>33900</v>
      </c>
      <c r="G244" s="157">
        <f t="shared" si="3"/>
        <v>21389286.480000019</v>
      </c>
      <c r="H244" s="158"/>
      <c r="I244" s="158"/>
    </row>
    <row r="245" spans="2:9" s="126" customFormat="1" ht="15.95" customHeight="1">
      <c r="B245" s="154">
        <v>44494</v>
      </c>
      <c r="C245" s="155">
        <v>24447</v>
      </c>
      <c r="D245" s="327" t="s">
        <v>1191</v>
      </c>
      <c r="E245" s="157"/>
      <c r="F245" s="157">
        <v>36000</v>
      </c>
      <c r="G245" s="157">
        <f t="shared" si="3"/>
        <v>21353286.480000019</v>
      </c>
      <c r="H245" s="158"/>
      <c r="I245" s="158"/>
    </row>
    <row r="246" spans="2:9" s="126" customFormat="1" ht="15.95" customHeight="1">
      <c r="B246" s="154">
        <v>44494</v>
      </c>
      <c r="C246" s="155">
        <v>24448</v>
      </c>
      <c r="D246" s="327" t="s">
        <v>1166</v>
      </c>
      <c r="E246" s="157"/>
      <c r="F246" s="157">
        <v>56500</v>
      </c>
      <c r="G246" s="157">
        <f t="shared" si="3"/>
        <v>21296786.480000019</v>
      </c>
      <c r="H246" s="158"/>
      <c r="I246" s="158"/>
    </row>
    <row r="247" spans="2:9" s="126" customFormat="1" ht="15.95" customHeight="1">
      <c r="B247" s="154">
        <v>44494</v>
      </c>
      <c r="C247" s="155">
        <v>24427</v>
      </c>
      <c r="D247" s="156" t="s">
        <v>2007</v>
      </c>
      <c r="E247" s="157"/>
      <c r="F247" s="157">
        <v>106792.03</v>
      </c>
      <c r="G247" s="157">
        <f t="shared" si="3"/>
        <v>21189994.450000018</v>
      </c>
      <c r="H247" s="158"/>
      <c r="I247" s="158"/>
    </row>
    <row r="248" spans="2:9" s="126" customFormat="1" ht="15.95" customHeight="1">
      <c r="B248" s="154">
        <v>44494</v>
      </c>
      <c r="C248" s="155">
        <v>24433</v>
      </c>
      <c r="D248" s="327" t="s">
        <v>2025</v>
      </c>
      <c r="E248" s="157"/>
      <c r="F248" s="157">
        <v>113000</v>
      </c>
      <c r="G248" s="157">
        <f t="shared" si="3"/>
        <v>21076994.450000018</v>
      </c>
      <c r="H248" s="158"/>
      <c r="I248" s="158"/>
    </row>
    <row r="249" spans="2:9" s="126" customFormat="1" ht="15.95" customHeight="1">
      <c r="B249" s="154">
        <v>44494</v>
      </c>
      <c r="C249" s="155">
        <v>24370</v>
      </c>
      <c r="D249" s="327" t="s">
        <v>1845</v>
      </c>
      <c r="E249" s="157"/>
      <c r="F249" s="157">
        <v>125514.75</v>
      </c>
      <c r="G249" s="157">
        <f t="shared" si="3"/>
        <v>20951479.700000018</v>
      </c>
      <c r="H249" s="158"/>
      <c r="I249" s="158"/>
    </row>
    <row r="250" spans="2:9" s="126" customFormat="1" ht="15.95" customHeight="1">
      <c r="B250" s="154">
        <v>44494</v>
      </c>
      <c r="C250" s="155">
        <v>24395</v>
      </c>
      <c r="D250" s="327" t="s">
        <v>2023</v>
      </c>
      <c r="E250" s="157"/>
      <c r="F250" s="157">
        <v>169500</v>
      </c>
      <c r="G250" s="157">
        <f t="shared" si="3"/>
        <v>20781979.700000018</v>
      </c>
      <c r="H250" s="158"/>
      <c r="I250" s="158"/>
    </row>
    <row r="251" spans="2:9" s="126" customFormat="1" ht="15.95" customHeight="1">
      <c r="B251" s="154">
        <v>44494</v>
      </c>
      <c r="C251" s="155">
        <v>24373</v>
      </c>
      <c r="D251" s="327" t="s">
        <v>1843</v>
      </c>
      <c r="E251" s="157"/>
      <c r="F251" s="157">
        <v>187630</v>
      </c>
      <c r="G251" s="157">
        <f t="shared" si="3"/>
        <v>20594349.700000018</v>
      </c>
      <c r="H251" s="158"/>
      <c r="I251" s="158"/>
    </row>
    <row r="252" spans="2:9" s="126" customFormat="1" ht="15.95" customHeight="1">
      <c r="B252" s="154">
        <v>44494</v>
      </c>
      <c r="C252" s="155">
        <v>24411</v>
      </c>
      <c r="D252" s="327" t="s">
        <v>1066</v>
      </c>
      <c r="E252" s="157"/>
      <c r="F252" s="157">
        <v>202847.52</v>
      </c>
      <c r="G252" s="157">
        <f t="shared" si="3"/>
        <v>20391502.180000018</v>
      </c>
      <c r="H252" s="158"/>
      <c r="I252" s="158"/>
    </row>
    <row r="253" spans="2:9" s="126" customFormat="1" ht="15.95" customHeight="1">
      <c r="B253" s="154">
        <v>44494</v>
      </c>
      <c r="C253" s="155">
        <v>24369</v>
      </c>
      <c r="D253" s="327" t="s">
        <v>1890</v>
      </c>
      <c r="E253" s="157"/>
      <c r="F253" s="157">
        <v>213570</v>
      </c>
      <c r="G253" s="157">
        <f t="shared" si="3"/>
        <v>20177932.180000018</v>
      </c>
      <c r="H253" s="158"/>
      <c r="I253" s="158"/>
    </row>
    <row r="254" spans="2:9" s="126" customFormat="1" ht="15.95" customHeight="1">
      <c r="B254" s="154">
        <v>44494</v>
      </c>
      <c r="C254" s="155">
        <v>24425</v>
      </c>
      <c r="D254" s="327" t="s">
        <v>1842</v>
      </c>
      <c r="E254" s="157"/>
      <c r="F254" s="157">
        <v>221416</v>
      </c>
      <c r="G254" s="157">
        <f t="shared" si="3"/>
        <v>19956516.180000018</v>
      </c>
      <c r="H254" s="158"/>
      <c r="I254" s="158"/>
    </row>
    <row r="255" spans="2:9" s="126" customFormat="1" ht="15.95" customHeight="1">
      <c r="B255" s="154">
        <v>44494</v>
      </c>
      <c r="C255" s="155">
        <v>24416</v>
      </c>
      <c r="D255" s="156" t="s">
        <v>2006</v>
      </c>
      <c r="E255" s="157"/>
      <c r="F255" s="157">
        <v>249609.14</v>
      </c>
      <c r="G255" s="157">
        <f t="shared" si="3"/>
        <v>19706907.040000018</v>
      </c>
      <c r="H255" s="158"/>
      <c r="I255" s="158"/>
    </row>
    <row r="256" spans="2:9" s="126" customFormat="1" ht="15.95" customHeight="1">
      <c r="B256" s="154">
        <v>44494</v>
      </c>
      <c r="C256" s="155">
        <v>24400</v>
      </c>
      <c r="D256" s="327" t="s">
        <v>140</v>
      </c>
      <c r="E256" s="157"/>
      <c r="F256" s="157">
        <v>255529.3</v>
      </c>
      <c r="G256" s="157">
        <f t="shared" si="3"/>
        <v>19451377.740000017</v>
      </c>
      <c r="H256" s="158"/>
      <c r="I256" s="158"/>
    </row>
    <row r="257" spans="2:9" s="126" customFormat="1" ht="15.95" customHeight="1">
      <c r="B257" s="154">
        <v>44494</v>
      </c>
      <c r="C257" s="155">
        <v>24401</v>
      </c>
      <c r="D257" s="327" t="s">
        <v>1313</v>
      </c>
      <c r="E257" s="157"/>
      <c r="F257" s="157">
        <v>295283</v>
      </c>
      <c r="G257" s="157">
        <f t="shared" si="3"/>
        <v>19156094.740000017</v>
      </c>
      <c r="H257" s="158"/>
      <c r="I257" s="158"/>
    </row>
    <row r="258" spans="2:9" s="126" customFormat="1" ht="15.95" customHeight="1">
      <c r="B258" s="154">
        <v>44494</v>
      </c>
      <c r="C258" s="155">
        <v>24405</v>
      </c>
      <c r="D258" s="327" t="s">
        <v>1122</v>
      </c>
      <c r="E258" s="157"/>
      <c r="F258" s="157">
        <v>529150.77</v>
      </c>
      <c r="G258" s="157">
        <f t="shared" si="3"/>
        <v>18626943.970000017</v>
      </c>
      <c r="H258" s="158"/>
      <c r="I258" s="158"/>
    </row>
    <row r="259" spans="2:9" s="126" customFormat="1" ht="15.95" customHeight="1">
      <c r="B259" s="154">
        <v>44494</v>
      </c>
      <c r="C259" s="155">
        <v>24424</v>
      </c>
      <c r="D259" s="327" t="s">
        <v>1842</v>
      </c>
      <c r="E259" s="157"/>
      <c r="F259" s="157">
        <v>1265042.8700000001</v>
      </c>
      <c r="G259" s="157">
        <f t="shared" si="3"/>
        <v>17361901.100000016</v>
      </c>
      <c r="H259" s="158"/>
      <c r="I259" s="158"/>
    </row>
    <row r="260" spans="2:9" s="126" customFormat="1" ht="15.95" customHeight="1">
      <c r="B260" s="154">
        <v>44494</v>
      </c>
      <c r="C260" s="155">
        <v>24437</v>
      </c>
      <c r="D260" s="156" t="s">
        <v>1257</v>
      </c>
      <c r="E260" s="157"/>
      <c r="F260" s="157">
        <v>7306623.1100000003</v>
      </c>
      <c r="G260" s="157">
        <f t="shared" si="3"/>
        <v>10055277.990000017</v>
      </c>
      <c r="H260" s="158"/>
      <c r="I260" s="158"/>
    </row>
    <row r="261" spans="2:9" s="126" customFormat="1" ht="15.95" customHeight="1">
      <c r="B261" s="154">
        <v>44494</v>
      </c>
      <c r="C261" s="155">
        <v>24394</v>
      </c>
      <c r="D261" s="156" t="s">
        <v>1158</v>
      </c>
      <c r="E261" s="157"/>
      <c r="F261" s="157">
        <v>564798.28</v>
      </c>
      <c r="G261" s="157">
        <f t="shared" si="3"/>
        <v>9490479.7100000177</v>
      </c>
      <c r="H261" s="158"/>
      <c r="I261" s="158"/>
    </row>
    <row r="262" spans="2:9" s="126" customFormat="1" ht="15.95" customHeight="1">
      <c r="B262" s="154">
        <v>44494</v>
      </c>
      <c r="C262" s="155">
        <v>24676373625</v>
      </c>
      <c r="D262" s="156" t="s">
        <v>1389</v>
      </c>
      <c r="E262" s="157"/>
      <c r="F262" s="157">
        <v>350000</v>
      </c>
      <c r="G262" s="157">
        <f t="shared" si="3"/>
        <v>9140479.7100000177</v>
      </c>
      <c r="H262" s="158"/>
      <c r="I262" s="158"/>
    </row>
    <row r="263" spans="2:9" s="126" customFormat="1" ht="15.95" customHeight="1">
      <c r="B263" s="154">
        <v>44494</v>
      </c>
      <c r="C263" s="155">
        <v>24675839849</v>
      </c>
      <c r="D263" s="156" t="s">
        <v>1389</v>
      </c>
      <c r="E263" s="157"/>
      <c r="F263" s="157">
        <v>900000</v>
      </c>
      <c r="G263" s="157">
        <f t="shared" si="3"/>
        <v>8240479.7100000177</v>
      </c>
      <c r="H263" s="158"/>
      <c r="I263" s="158"/>
    </row>
    <row r="264" spans="2:9" s="126" customFormat="1" ht="15.95" customHeight="1">
      <c r="B264" s="154">
        <v>44496</v>
      </c>
      <c r="C264" s="155">
        <v>20518297</v>
      </c>
      <c r="D264" s="156" t="s">
        <v>1064</v>
      </c>
      <c r="E264" s="157">
        <v>10000000</v>
      </c>
      <c r="F264" s="157"/>
      <c r="G264" s="157">
        <f t="shared" si="3"/>
        <v>18240479.710000016</v>
      </c>
      <c r="H264" s="158"/>
      <c r="I264" s="158"/>
    </row>
    <row r="265" spans="2:9" s="126" customFormat="1" ht="15.95" customHeight="1">
      <c r="B265" s="154">
        <v>44496</v>
      </c>
      <c r="C265" s="155">
        <v>24457</v>
      </c>
      <c r="D265" s="327" t="s">
        <v>1338</v>
      </c>
      <c r="E265" s="157"/>
      <c r="F265" s="157">
        <v>12500</v>
      </c>
      <c r="G265" s="157">
        <f t="shared" si="3"/>
        <v>18227979.710000016</v>
      </c>
      <c r="H265" s="158"/>
      <c r="I265" s="158"/>
    </row>
    <row r="266" spans="2:9" s="126" customFormat="1" ht="15.95" customHeight="1">
      <c r="B266" s="154">
        <v>44496</v>
      </c>
      <c r="C266" s="155">
        <v>24399</v>
      </c>
      <c r="D266" s="327" t="s">
        <v>1142</v>
      </c>
      <c r="E266" s="157"/>
      <c r="F266" s="157">
        <v>13500</v>
      </c>
      <c r="G266" s="157">
        <f t="shared" si="3"/>
        <v>18214479.710000016</v>
      </c>
      <c r="H266" s="158"/>
      <c r="I266" s="158"/>
    </row>
    <row r="267" spans="2:9" s="126" customFormat="1" ht="15.95" customHeight="1">
      <c r="B267" s="154">
        <v>44496</v>
      </c>
      <c r="C267" s="155">
        <v>24456</v>
      </c>
      <c r="D267" s="156" t="s">
        <v>2019</v>
      </c>
      <c r="E267" s="157"/>
      <c r="F267" s="157">
        <v>13523.27</v>
      </c>
      <c r="G267" s="157">
        <f t="shared" si="3"/>
        <v>18200956.440000016</v>
      </c>
      <c r="H267" s="158"/>
      <c r="I267" s="158"/>
    </row>
    <row r="268" spans="2:9" s="126" customFormat="1" ht="15.95" customHeight="1">
      <c r="B268" s="154">
        <v>44496</v>
      </c>
      <c r="C268" s="155">
        <v>24387</v>
      </c>
      <c r="D268" s="327" t="s">
        <v>1455</v>
      </c>
      <c r="E268" s="157"/>
      <c r="F268" s="157">
        <v>18000</v>
      </c>
      <c r="G268" s="157">
        <f t="shared" si="3"/>
        <v>18182956.440000016</v>
      </c>
      <c r="H268" s="158"/>
      <c r="I268" s="158"/>
    </row>
    <row r="269" spans="2:9" s="126" customFormat="1" ht="15.95" customHeight="1">
      <c r="B269" s="154">
        <v>44496</v>
      </c>
      <c r="C269" s="155">
        <v>24453</v>
      </c>
      <c r="D269" s="156" t="s">
        <v>2016</v>
      </c>
      <c r="E269" s="157"/>
      <c r="F269" s="157">
        <v>22177.35</v>
      </c>
      <c r="G269" s="157">
        <f t="shared" si="3"/>
        <v>18160779.090000015</v>
      </c>
      <c r="H269" s="158"/>
      <c r="I269" s="158"/>
    </row>
    <row r="270" spans="2:9" s="126" customFormat="1" ht="15.95" customHeight="1">
      <c r="B270" s="154">
        <v>44496</v>
      </c>
      <c r="C270" s="155">
        <v>24388</v>
      </c>
      <c r="D270" s="327" t="s">
        <v>1161</v>
      </c>
      <c r="E270" s="157"/>
      <c r="F270" s="157">
        <v>27000</v>
      </c>
      <c r="G270" s="157">
        <f t="shared" si="3"/>
        <v>18133779.090000015</v>
      </c>
      <c r="H270" s="158"/>
      <c r="I270" s="158"/>
    </row>
    <row r="271" spans="2:9" s="126" customFormat="1" ht="15.95" customHeight="1">
      <c r="B271" s="154">
        <v>44496</v>
      </c>
      <c r="C271" s="155">
        <v>24393</v>
      </c>
      <c r="D271" s="327" t="s">
        <v>2022</v>
      </c>
      <c r="E271" s="157"/>
      <c r="F271" s="157">
        <v>27000</v>
      </c>
      <c r="G271" s="157">
        <f t="shared" si="3"/>
        <v>18106779.090000015</v>
      </c>
      <c r="H271" s="158"/>
      <c r="I271" s="158"/>
    </row>
    <row r="272" spans="2:9" s="126" customFormat="1" ht="15.95" customHeight="1">
      <c r="B272" s="154">
        <v>44496</v>
      </c>
      <c r="C272" s="155">
        <v>24435</v>
      </c>
      <c r="D272" s="327" t="s">
        <v>1144</v>
      </c>
      <c r="E272" s="157"/>
      <c r="F272" s="157">
        <v>36000</v>
      </c>
      <c r="G272" s="157">
        <f t="shared" si="3"/>
        <v>18070779.090000015</v>
      </c>
      <c r="H272" s="158"/>
      <c r="I272" s="158"/>
    </row>
    <row r="273" spans="2:9" s="126" customFormat="1" ht="15.95" customHeight="1">
      <c r="B273" s="154">
        <v>44496</v>
      </c>
      <c r="C273" s="155">
        <v>24436</v>
      </c>
      <c r="D273" s="156" t="s">
        <v>2013</v>
      </c>
      <c r="E273" s="157"/>
      <c r="F273" s="157">
        <v>41673.56</v>
      </c>
      <c r="G273" s="157">
        <f t="shared" si="3"/>
        <v>18029105.530000016</v>
      </c>
      <c r="H273" s="158"/>
      <c r="I273" s="158"/>
    </row>
    <row r="274" spans="2:9" s="126" customFormat="1" ht="15.95" customHeight="1">
      <c r="B274" s="154">
        <v>44496</v>
      </c>
      <c r="C274" s="155">
        <v>24413</v>
      </c>
      <c r="D274" s="327" t="s">
        <v>1164</v>
      </c>
      <c r="E274" s="157"/>
      <c r="F274" s="157">
        <v>67800</v>
      </c>
      <c r="G274" s="157">
        <f t="shared" ref="G274:G320" si="4">+G273+E274-F274</f>
        <v>17961305.530000016</v>
      </c>
      <c r="H274" s="158"/>
      <c r="I274" s="158"/>
    </row>
    <row r="275" spans="2:9" s="126" customFormat="1" ht="15.95" customHeight="1">
      <c r="B275" s="154">
        <v>44496</v>
      </c>
      <c r="C275" s="155">
        <v>24431</v>
      </c>
      <c r="D275" s="156" t="s">
        <v>2011</v>
      </c>
      <c r="E275" s="157"/>
      <c r="F275" s="157">
        <v>71151.360000000001</v>
      </c>
      <c r="G275" s="157">
        <f t="shared" si="4"/>
        <v>17890154.170000017</v>
      </c>
      <c r="H275" s="158"/>
      <c r="I275" s="158"/>
    </row>
    <row r="276" spans="2:9" s="126" customFormat="1" ht="15.95" customHeight="1">
      <c r="B276" s="154">
        <v>44496</v>
      </c>
      <c r="C276" s="155">
        <v>24434</v>
      </c>
      <c r="D276" s="156" t="s">
        <v>2012</v>
      </c>
      <c r="E276" s="157"/>
      <c r="F276" s="157">
        <v>72578.06</v>
      </c>
      <c r="G276" s="157">
        <f t="shared" si="4"/>
        <v>17817576.110000018</v>
      </c>
      <c r="H276" s="158"/>
      <c r="I276" s="158"/>
    </row>
    <row r="277" spans="2:9" s="126" customFormat="1" ht="15.95" customHeight="1">
      <c r="B277" s="154">
        <v>44496</v>
      </c>
      <c r="C277" s="155">
        <v>24452</v>
      </c>
      <c r="D277" s="156" t="s">
        <v>2015</v>
      </c>
      <c r="E277" s="157"/>
      <c r="F277" s="157">
        <v>82913.710000000006</v>
      </c>
      <c r="G277" s="157">
        <f t="shared" si="4"/>
        <v>17734662.400000017</v>
      </c>
      <c r="H277" s="158"/>
      <c r="I277" s="158"/>
    </row>
    <row r="278" spans="2:9" s="126" customFormat="1" ht="15.95" customHeight="1">
      <c r="B278" s="154">
        <v>44496</v>
      </c>
      <c r="C278" s="155">
        <v>24455</v>
      </c>
      <c r="D278" s="156" t="s">
        <v>2018</v>
      </c>
      <c r="E278" s="157"/>
      <c r="F278" s="157">
        <v>105213.81</v>
      </c>
      <c r="G278" s="157">
        <f t="shared" si="4"/>
        <v>17629448.590000018</v>
      </c>
      <c r="H278" s="158"/>
      <c r="I278" s="158"/>
    </row>
    <row r="279" spans="2:9" s="126" customFormat="1" ht="15.95" customHeight="1">
      <c r="B279" s="154">
        <v>44496</v>
      </c>
      <c r="C279" s="155">
        <v>24451</v>
      </c>
      <c r="D279" s="156" t="s">
        <v>2014</v>
      </c>
      <c r="E279" s="157"/>
      <c r="F279" s="157">
        <v>105958.7</v>
      </c>
      <c r="G279" s="157">
        <f t="shared" si="4"/>
        <v>17523489.890000019</v>
      </c>
      <c r="H279" s="158"/>
      <c r="I279" s="158"/>
    </row>
    <row r="280" spans="2:9" s="126" customFormat="1" ht="15.95" customHeight="1">
      <c r="B280" s="154">
        <v>44496</v>
      </c>
      <c r="C280" s="155">
        <v>24428</v>
      </c>
      <c r="D280" s="156" t="s">
        <v>2008</v>
      </c>
      <c r="E280" s="157"/>
      <c r="F280" s="157">
        <v>112139.77</v>
      </c>
      <c r="G280" s="157">
        <f t="shared" si="4"/>
        <v>17411350.12000002</v>
      </c>
      <c r="H280" s="158"/>
      <c r="I280" s="158"/>
    </row>
    <row r="281" spans="2:9" s="126" customFormat="1" ht="15.95" customHeight="1">
      <c r="B281" s="154">
        <v>44496</v>
      </c>
      <c r="C281" s="155">
        <v>24429</v>
      </c>
      <c r="D281" s="156" t="s">
        <v>2009</v>
      </c>
      <c r="E281" s="157"/>
      <c r="F281" s="157">
        <v>140097.59</v>
      </c>
      <c r="G281" s="157">
        <f t="shared" si="4"/>
        <v>17271252.53000002</v>
      </c>
      <c r="H281" s="158"/>
      <c r="I281" s="158"/>
    </row>
    <row r="282" spans="2:9" s="126" customFormat="1" ht="15.95" customHeight="1">
      <c r="B282" s="154">
        <v>44496</v>
      </c>
      <c r="C282" s="155">
        <v>24420</v>
      </c>
      <c r="D282" s="156" t="s">
        <v>1896</v>
      </c>
      <c r="E282" s="157"/>
      <c r="F282" s="157">
        <v>150000</v>
      </c>
      <c r="G282" s="157">
        <f t="shared" si="4"/>
        <v>17121252.53000002</v>
      </c>
      <c r="H282" s="158"/>
      <c r="I282" s="158"/>
    </row>
    <row r="283" spans="2:9" s="126" customFormat="1" ht="15.95" customHeight="1">
      <c r="B283" s="154">
        <v>44496</v>
      </c>
      <c r="C283" s="155">
        <v>24430</v>
      </c>
      <c r="D283" s="156" t="s">
        <v>2010</v>
      </c>
      <c r="E283" s="157"/>
      <c r="F283" s="157">
        <v>241773.6</v>
      </c>
      <c r="G283" s="157">
        <f t="shared" si="4"/>
        <v>16879478.930000018</v>
      </c>
      <c r="H283" s="158"/>
      <c r="I283" s="158"/>
    </row>
    <row r="284" spans="2:9" s="126" customFormat="1" ht="15.95" customHeight="1">
      <c r="B284" s="154">
        <v>44496</v>
      </c>
      <c r="C284" s="155">
        <v>24419</v>
      </c>
      <c r="D284" s="327" t="s">
        <v>2024</v>
      </c>
      <c r="E284" s="157"/>
      <c r="F284" s="157">
        <v>305100</v>
      </c>
      <c r="G284" s="157">
        <f t="shared" si="4"/>
        <v>16574378.930000018</v>
      </c>
      <c r="H284" s="158"/>
      <c r="I284" s="158"/>
    </row>
    <row r="285" spans="2:9" s="126" customFormat="1" ht="15.95" customHeight="1">
      <c r="B285" s="154">
        <v>44496</v>
      </c>
      <c r="C285" s="155">
        <v>24418</v>
      </c>
      <c r="D285" s="327" t="s">
        <v>2024</v>
      </c>
      <c r="E285" s="157"/>
      <c r="F285" s="157">
        <v>406800</v>
      </c>
      <c r="G285" s="157">
        <f t="shared" si="4"/>
        <v>16167578.930000018</v>
      </c>
      <c r="H285" s="158"/>
      <c r="I285" s="158"/>
    </row>
    <row r="286" spans="2:9" s="126" customFormat="1" ht="15.95" customHeight="1">
      <c r="B286" s="154">
        <v>44496</v>
      </c>
      <c r="C286" s="155">
        <v>24442</v>
      </c>
      <c r="D286" s="327" t="s">
        <v>1096</v>
      </c>
      <c r="E286" s="157"/>
      <c r="F286" s="157">
        <v>564009</v>
      </c>
      <c r="G286" s="157">
        <f t="shared" si="4"/>
        <v>15603569.930000018</v>
      </c>
      <c r="H286" s="158"/>
      <c r="I286" s="158"/>
    </row>
    <row r="287" spans="2:9" s="126" customFormat="1" ht="15.95" customHeight="1">
      <c r="B287" s="154">
        <v>44496</v>
      </c>
      <c r="C287" s="155">
        <v>24443</v>
      </c>
      <c r="D287" s="327" t="s">
        <v>1905</v>
      </c>
      <c r="E287" s="157"/>
      <c r="F287" s="157">
        <v>745698</v>
      </c>
      <c r="G287" s="157">
        <f t="shared" si="4"/>
        <v>14857871.930000018</v>
      </c>
      <c r="H287" s="158"/>
      <c r="I287" s="158"/>
    </row>
    <row r="288" spans="2:9" s="126" customFormat="1" ht="15.95" customHeight="1">
      <c r="B288" s="154">
        <v>44496</v>
      </c>
      <c r="C288" s="155">
        <v>24422</v>
      </c>
      <c r="D288" s="327" t="s">
        <v>1891</v>
      </c>
      <c r="E288" s="157"/>
      <c r="F288" s="157">
        <v>1318374.82</v>
      </c>
      <c r="G288" s="157">
        <f t="shared" si="4"/>
        <v>13539497.110000018</v>
      </c>
      <c r="H288" s="158"/>
      <c r="I288" s="158"/>
    </row>
    <row r="289" spans="2:9" s="126" customFormat="1" ht="15.95" customHeight="1">
      <c r="B289" s="154">
        <v>44496</v>
      </c>
      <c r="C289" s="155">
        <v>24461</v>
      </c>
      <c r="D289" s="156" t="s">
        <v>1389</v>
      </c>
      <c r="E289" s="157"/>
      <c r="F289" s="157">
        <v>1500000</v>
      </c>
      <c r="G289" s="157">
        <f t="shared" si="4"/>
        <v>12039497.110000018</v>
      </c>
      <c r="H289" s="158"/>
      <c r="I289" s="158"/>
    </row>
    <row r="290" spans="2:9" s="126" customFormat="1" ht="15.95" customHeight="1">
      <c r="B290" s="154">
        <v>44496</v>
      </c>
      <c r="C290" s="155">
        <v>24694237019</v>
      </c>
      <c r="D290" s="156" t="s">
        <v>1389</v>
      </c>
      <c r="E290" s="157"/>
      <c r="F290" s="157">
        <v>3700000</v>
      </c>
      <c r="G290" s="157">
        <f t="shared" si="4"/>
        <v>8339497.110000018</v>
      </c>
      <c r="H290" s="158"/>
      <c r="I290" s="158"/>
    </row>
    <row r="291" spans="2:9" s="126" customFormat="1" ht="15.95" customHeight="1">
      <c r="B291" s="154">
        <v>44497</v>
      </c>
      <c r="C291" s="155">
        <v>472138027</v>
      </c>
      <c r="D291" s="156" t="s">
        <v>1064</v>
      </c>
      <c r="E291" s="157">
        <v>9000</v>
      </c>
      <c r="F291" s="157"/>
      <c r="G291" s="157">
        <f t="shared" si="4"/>
        <v>8348497.110000018</v>
      </c>
      <c r="H291" s="158"/>
      <c r="I291" s="158"/>
    </row>
    <row r="292" spans="2:9" s="126" customFormat="1" ht="15.95" customHeight="1">
      <c r="B292" s="154">
        <v>44497</v>
      </c>
      <c r="C292" s="155">
        <v>472138026</v>
      </c>
      <c r="D292" s="156" t="s">
        <v>1064</v>
      </c>
      <c r="E292" s="157">
        <v>8700</v>
      </c>
      <c r="F292" s="157"/>
      <c r="G292" s="157">
        <f t="shared" si="4"/>
        <v>8357197.110000018</v>
      </c>
      <c r="H292" s="158"/>
      <c r="I292" s="158"/>
    </row>
    <row r="293" spans="2:9" s="126" customFormat="1" ht="15.95" customHeight="1">
      <c r="B293" s="154">
        <v>44497</v>
      </c>
      <c r="C293" s="155">
        <v>472138025</v>
      </c>
      <c r="D293" s="156" t="s">
        <v>1064</v>
      </c>
      <c r="E293" s="157">
        <v>348675</v>
      </c>
      <c r="F293" s="157"/>
      <c r="G293" s="157">
        <f t="shared" si="4"/>
        <v>8705872.110000018</v>
      </c>
      <c r="H293" s="158"/>
      <c r="I293" s="158"/>
    </row>
    <row r="294" spans="2:9" s="126" customFormat="1" ht="15.95" customHeight="1">
      <c r="B294" s="154">
        <v>44497</v>
      </c>
      <c r="C294" s="155">
        <v>472138024</v>
      </c>
      <c r="D294" s="156" t="s">
        <v>1064</v>
      </c>
      <c r="E294" s="157">
        <v>388885</v>
      </c>
      <c r="F294" s="157"/>
      <c r="G294" s="157">
        <f t="shared" si="4"/>
        <v>9094757.110000018</v>
      </c>
      <c r="H294" s="158"/>
      <c r="I294" s="158"/>
    </row>
    <row r="295" spans="2:9" s="126" customFormat="1" ht="15.95" customHeight="1">
      <c r="B295" s="154">
        <v>44497</v>
      </c>
      <c r="C295" s="155">
        <v>472138023</v>
      </c>
      <c r="D295" s="156" t="s">
        <v>1064</v>
      </c>
      <c r="E295" s="157">
        <v>3000</v>
      </c>
      <c r="F295" s="157"/>
      <c r="G295" s="157">
        <f t="shared" si="4"/>
        <v>9097757.110000018</v>
      </c>
      <c r="H295" s="158"/>
      <c r="I295" s="158"/>
    </row>
    <row r="296" spans="2:9" s="126" customFormat="1" ht="15.95" customHeight="1">
      <c r="B296" s="154">
        <v>44497</v>
      </c>
      <c r="C296" s="155">
        <v>472138022</v>
      </c>
      <c r="D296" s="156" t="s">
        <v>1064</v>
      </c>
      <c r="E296" s="157">
        <v>2500</v>
      </c>
      <c r="F296" s="157"/>
      <c r="G296" s="157">
        <f t="shared" si="4"/>
        <v>9100257.110000018</v>
      </c>
      <c r="H296" s="158"/>
      <c r="I296" s="158"/>
    </row>
    <row r="297" spans="2:9" s="126" customFormat="1" ht="15.95" customHeight="1">
      <c r="B297" s="154">
        <v>44497</v>
      </c>
      <c r="C297" s="155">
        <v>24702608084</v>
      </c>
      <c r="D297" s="156" t="s">
        <v>1064</v>
      </c>
      <c r="E297" s="157">
        <v>1000000</v>
      </c>
      <c r="F297" s="157"/>
      <c r="G297" s="157">
        <f t="shared" si="4"/>
        <v>10100257.110000018</v>
      </c>
      <c r="H297" s="158"/>
      <c r="I297" s="158"/>
    </row>
    <row r="298" spans="2:9" s="126" customFormat="1" ht="15.95" customHeight="1">
      <c r="B298" s="154">
        <v>44497</v>
      </c>
      <c r="C298" s="155">
        <v>24454</v>
      </c>
      <c r="D298" s="156" t="s">
        <v>2017</v>
      </c>
      <c r="E298" s="157"/>
      <c r="F298" s="157">
        <v>133899.75</v>
      </c>
      <c r="G298" s="157">
        <f t="shared" si="4"/>
        <v>9966357.360000018</v>
      </c>
      <c r="H298" s="158"/>
      <c r="I298" s="158"/>
    </row>
    <row r="299" spans="2:9" s="126" customFormat="1" ht="15.95" customHeight="1">
      <c r="B299" s="154">
        <v>44497</v>
      </c>
      <c r="C299" s="155">
        <v>24462</v>
      </c>
      <c r="D299" s="156" t="s">
        <v>1389</v>
      </c>
      <c r="E299" s="157"/>
      <c r="F299" s="157">
        <v>737560</v>
      </c>
      <c r="G299" s="157">
        <f t="shared" si="4"/>
        <v>9228797.360000018</v>
      </c>
      <c r="H299" s="158"/>
      <c r="I299" s="158"/>
    </row>
    <row r="300" spans="2:9" s="126" customFormat="1" ht="15.95" customHeight="1">
      <c r="B300" s="154">
        <v>44497</v>
      </c>
      <c r="C300" s="155">
        <v>24458</v>
      </c>
      <c r="D300" s="327" t="s">
        <v>1906</v>
      </c>
      <c r="E300" s="157"/>
      <c r="F300" s="157">
        <v>866400</v>
      </c>
      <c r="G300" s="157">
        <f t="shared" si="4"/>
        <v>8362397.360000018</v>
      </c>
      <c r="H300" s="158"/>
      <c r="I300" s="158"/>
    </row>
    <row r="301" spans="2:9" s="126" customFormat="1" ht="15.95" customHeight="1">
      <c r="B301" s="154">
        <v>44498</v>
      </c>
      <c r="C301" s="155">
        <v>471800569</v>
      </c>
      <c r="D301" s="156" t="s">
        <v>1064</v>
      </c>
      <c r="E301" s="157">
        <v>359395</v>
      </c>
      <c r="F301" s="157"/>
      <c r="G301" s="157">
        <f t="shared" si="4"/>
        <v>8721792.360000018</v>
      </c>
      <c r="H301" s="158"/>
      <c r="I301" s="158"/>
    </row>
    <row r="302" spans="2:9" s="126" customFormat="1" ht="15.95" customHeight="1">
      <c r="B302" s="154">
        <v>44498</v>
      </c>
      <c r="C302" s="155">
        <v>471800568</v>
      </c>
      <c r="D302" s="156" t="s">
        <v>1064</v>
      </c>
      <c r="E302" s="157">
        <v>378490</v>
      </c>
      <c r="F302" s="157"/>
      <c r="G302" s="157">
        <f t="shared" si="4"/>
        <v>9100282.360000018</v>
      </c>
      <c r="H302" s="158"/>
      <c r="I302" s="158"/>
    </row>
    <row r="303" spans="2:9" s="126" customFormat="1" ht="15.95" customHeight="1">
      <c r="B303" s="154">
        <v>44498</v>
      </c>
      <c r="C303" s="155">
        <v>20518299</v>
      </c>
      <c r="D303" s="156" t="s">
        <v>1064</v>
      </c>
      <c r="E303" s="157">
        <v>10000000</v>
      </c>
      <c r="F303" s="157"/>
      <c r="G303" s="157">
        <f t="shared" si="4"/>
        <v>19100282.360000018</v>
      </c>
      <c r="H303" s="158"/>
      <c r="I303" s="158"/>
    </row>
    <row r="304" spans="2:9" s="126" customFormat="1" ht="15.95" customHeight="1">
      <c r="B304" s="154">
        <v>44498</v>
      </c>
      <c r="C304" s="155">
        <v>24386</v>
      </c>
      <c r="D304" s="327" t="s">
        <v>1736</v>
      </c>
      <c r="E304" s="157"/>
      <c r="F304" s="157">
        <v>28250</v>
      </c>
      <c r="G304" s="157">
        <f t="shared" si="4"/>
        <v>19072032.360000018</v>
      </c>
      <c r="H304" s="158"/>
      <c r="I304" s="158"/>
    </row>
    <row r="305" spans="2:9" s="126" customFormat="1" ht="15.95" customHeight="1">
      <c r="B305" s="154">
        <v>44498</v>
      </c>
      <c r="C305" s="155">
        <v>24396</v>
      </c>
      <c r="D305" s="327" t="s">
        <v>1143</v>
      </c>
      <c r="E305" s="157"/>
      <c r="F305" s="157">
        <v>36000</v>
      </c>
      <c r="G305" s="157">
        <f t="shared" si="4"/>
        <v>19036032.360000018</v>
      </c>
      <c r="H305" s="158"/>
      <c r="I305" s="158"/>
    </row>
    <row r="306" spans="2:9" s="126" customFormat="1" ht="15.95" customHeight="1">
      <c r="B306" s="154">
        <v>44498</v>
      </c>
      <c r="C306" s="155">
        <v>24381</v>
      </c>
      <c r="D306" s="327" t="s">
        <v>1166</v>
      </c>
      <c r="E306" s="157"/>
      <c r="F306" s="157">
        <v>56500</v>
      </c>
      <c r="G306" s="157">
        <f t="shared" si="4"/>
        <v>18979532.360000018</v>
      </c>
      <c r="H306" s="158"/>
      <c r="I306" s="158"/>
    </row>
    <row r="307" spans="2:9" s="126" customFormat="1" ht="15.95" customHeight="1">
      <c r="B307" s="154">
        <v>44498</v>
      </c>
      <c r="C307" s="155">
        <v>24445</v>
      </c>
      <c r="D307" s="327" t="s">
        <v>1327</v>
      </c>
      <c r="E307" s="157"/>
      <c r="F307" s="157">
        <v>77068.5</v>
      </c>
      <c r="G307" s="157">
        <f t="shared" si="4"/>
        <v>18902463.860000018</v>
      </c>
      <c r="H307" s="158"/>
      <c r="I307" s="158"/>
    </row>
    <row r="308" spans="2:9" s="126" customFormat="1" ht="15.95" customHeight="1">
      <c r="B308" s="154">
        <v>44498</v>
      </c>
      <c r="C308" s="155">
        <v>24450</v>
      </c>
      <c r="D308" s="327" t="s">
        <v>708</v>
      </c>
      <c r="E308" s="157"/>
      <c r="F308" s="157">
        <v>210000</v>
      </c>
      <c r="G308" s="157">
        <f t="shared" si="4"/>
        <v>18692463.860000018</v>
      </c>
      <c r="H308" s="158"/>
      <c r="I308" s="158"/>
    </row>
    <row r="309" spans="2:9" s="126" customFormat="1" ht="15.95" customHeight="1">
      <c r="B309" s="154">
        <v>44498</v>
      </c>
      <c r="C309" s="155">
        <v>24367</v>
      </c>
      <c r="D309" s="327" t="s">
        <v>1070</v>
      </c>
      <c r="E309" s="157"/>
      <c r="F309" s="157">
        <v>267854.06</v>
      </c>
      <c r="G309" s="157">
        <f t="shared" si="4"/>
        <v>18424609.800000019</v>
      </c>
      <c r="H309" s="158"/>
      <c r="I309" s="158"/>
    </row>
    <row r="310" spans="2:9" s="126" customFormat="1" ht="15.95" customHeight="1">
      <c r="B310" s="154">
        <v>44498</v>
      </c>
      <c r="C310" s="155">
        <v>24441</v>
      </c>
      <c r="D310" s="327" t="s">
        <v>1131</v>
      </c>
      <c r="E310" s="157"/>
      <c r="F310" s="157">
        <v>564009</v>
      </c>
      <c r="G310" s="157">
        <f t="shared" si="4"/>
        <v>17860600.800000019</v>
      </c>
      <c r="H310" s="158"/>
      <c r="I310" s="158"/>
    </row>
    <row r="311" spans="2:9" s="126" customFormat="1" ht="15.95" customHeight="1">
      <c r="B311" s="154">
        <v>44498</v>
      </c>
      <c r="C311" s="155">
        <v>24463</v>
      </c>
      <c r="D311" s="156" t="s">
        <v>1389</v>
      </c>
      <c r="E311" s="157"/>
      <c r="F311" s="157">
        <v>737885</v>
      </c>
      <c r="G311" s="157">
        <f t="shared" si="4"/>
        <v>17122715.800000019</v>
      </c>
      <c r="H311" s="158"/>
      <c r="I311" s="158"/>
    </row>
    <row r="312" spans="2:9" s="126" customFormat="1" ht="15.95" customHeight="1">
      <c r="B312" s="154">
        <v>44498</v>
      </c>
      <c r="C312" s="155">
        <v>24439</v>
      </c>
      <c r="D312" s="327" t="s">
        <v>1901</v>
      </c>
      <c r="E312" s="157"/>
      <c r="F312" s="157">
        <v>1014912.55</v>
      </c>
      <c r="G312" s="157">
        <f t="shared" si="4"/>
        <v>16107803.250000019</v>
      </c>
      <c r="H312" s="158"/>
      <c r="I312" s="158"/>
    </row>
    <row r="313" spans="2:9" s="126" customFormat="1" ht="15.95" customHeight="1">
      <c r="B313" s="154">
        <v>44498</v>
      </c>
      <c r="C313" s="155">
        <v>24440</v>
      </c>
      <c r="D313" s="327" t="s">
        <v>1901</v>
      </c>
      <c r="E313" s="157"/>
      <c r="F313" s="157">
        <v>1014912.55</v>
      </c>
      <c r="G313" s="157">
        <f t="shared" si="4"/>
        <v>15092890.700000018</v>
      </c>
      <c r="H313" s="158"/>
      <c r="I313" s="158"/>
    </row>
    <row r="314" spans="2:9" s="126" customFormat="1" ht="15.95" customHeight="1">
      <c r="B314" s="154">
        <v>44498</v>
      </c>
      <c r="C314" s="155">
        <v>24294</v>
      </c>
      <c r="D314" s="327" t="s">
        <v>1346</v>
      </c>
      <c r="E314" s="157"/>
      <c r="F314" s="157">
        <v>2600169</v>
      </c>
      <c r="G314" s="157">
        <f t="shared" si="4"/>
        <v>12492721.700000018</v>
      </c>
      <c r="H314" s="158"/>
      <c r="I314" s="158"/>
    </row>
    <row r="315" spans="2:9" s="126" customFormat="1" ht="15.95" customHeight="1">
      <c r="B315" s="154">
        <v>44498</v>
      </c>
      <c r="C315" s="155">
        <v>24714358085</v>
      </c>
      <c r="D315" s="156" t="s">
        <v>1389</v>
      </c>
      <c r="E315" s="157"/>
      <c r="F315" s="157">
        <v>4200000</v>
      </c>
      <c r="G315" s="157">
        <f t="shared" si="4"/>
        <v>8292721.7000000179</v>
      </c>
      <c r="H315" s="158"/>
      <c r="I315" s="158"/>
    </row>
    <row r="316" spans="2:9" s="126" customFormat="1" ht="15.95" customHeight="1">
      <c r="B316" s="154" t="s">
        <v>2042</v>
      </c>
      <c r="C316" s="155" t="s">
        <v>1349</v>
      </c>
      <c r="D316" s="156" t="s">
        <v>2043</v>
      </c>
      <c r="E316" s="157">
        <v>22500</v>
      </c>
      <c r="F316" s="157"/>
      <c r="G316" s="157">
        <f t="shared" si="4"/>
        <v>8315221.7000000179</v>
      </c>
      <c r="H316" s="158"/>
      <c r="I316" s="158"/>
    </row>
    <row r="317" spans="2:9" s="126" customFormat="1" ht="15.95" customHeight="1">
      <c r="B317" s="154" t="s">
        <v>2042</v>
      </c>
      <c r="C317" s="160" t="s">
        <v>2044</v>
      </c>
      <c r="D317" s="156" t="s">
        <v>1861</v>
      </c>
      <c r="E317" s="157"/>
      <c r="F317" s="157">
        <v>56529.760000000002</v>
      </c>
      <c r="G317" s="157">
        <f t="shared" si="4"/>
        <v>8258691.9400000181</v>
      </c>
      <c r="H317" s="158"/>
      <c r="I317" s="158"/>
    </row>
    <row r="318" spans="2:9" s="126" customFormat="1" ht="15.95" customHeight="1">
      <c r="B318" s="154" t="s">
        <v>2042</v>
      </c>
      <c r="C318" s="160" t="s">
        <v>1350</v>
      </c>
      <c r="D318" s="156" t="s">
        <v>1351</v>
      </c>
      <c r="E318" s="157"/>
      <c r="F318" s="157">
        <v>268399.48000000004</v>
      </c>
      <c r="G318" s="157">
        <f t="shared" si="4"/>
        <v>7990292.4600000177</v>
      </c>
      <c r="H318" s="158"/>
      <c r="I318" s="158"/>
    </row>
    <row r="319" spans="2:9" ht="15.95" customHeight="1">
      <c r="B319" s="154" t="s">
        <v>2042</v>
      </c>
      <c r="C319" s="160" t="s">
        <v>1350</v>
      </c>
      <c r="D319" s="156" t="s">
        <v>1352</v>
      </c>
      <c r="E319" s="157"/>
      <c r="F319" s="157">
        <v>143379.02000000002</v>
      </c>
      <c r="G319" s="157">
        <f t="shared" si="4"/>
        <v>7846913.4400000181</v>
      </c>
    </row>
    <row r="320" spans="2:9" ht="15.95" customHeight="1">
      <c r="B320" s="154" t="s">
        <v>2042</v>
      </c>
      <c r="C320" s="160" t="s">
        <v>1350</v>
      </c>
      <c r="D320" s="156" t="s">
        <v>1353</v>
      </c>
      <c r="E320" s="157"/>
      <c r="F320" s="157">
        <v>108674.61</v>
      </c>
      <c r="G320" s="157">
        <f t="shared" si="4"/>
        <v>7738238.8300000178</v>
      </c>
    </row>
    <row r="321" spans="2:7" ht="15.75" thickBot="1">
      <c r="B321" s="161"/>
      <c r="C321" s="113"/>
      <c r="D321" s="162"/>
      <c r="E321" s="163"/>
      <c r="F321" s="164"/>
      <c r="G321" s="165"/>
    </row>
    <row r="322" spans="2:7">
      <c r="B322" s="166"/>
      <c r="C322" s="167"/>
      <c r="D322" s="168"/>
      <c r="E322" s="169"/>
      <c r="F322" s="170"/>
      <c r="G322" s="171"/>
    </row>
    <row r="323" spans="2:7" ht="16.5" thickBot="1">
      <c r="B323" s="166"/>
      <c r="C323" s="167"/>
      <c r="D323" s="172" t="s">
        <v>1354</v>
      </c>
      <c r="E323" s="173">
        <f>SUM(E16:E321)</f>
        <v>173447852</v>
      </c>
      <c r="F323" s="173">
        <f>SUM(F16:F321)</f>
        <v>173640592.7700001</v>
      </c>
      <c r="G323" s="174">
        <f>+G13+E323-F323</f>
        <v>7738238.8299998939</v>
      </c>
    </row>
    <row r="324" spans="2:7" ht="15.75" thickTop="1">
      <c r="B324" s="166"/>
      <c r="C324" s="167"/>
      <c r="D324" s="168"/>
      <c r="E324" s="169"/>
      <c r="F324" s="177"/>
      <c r="G324" s="171"/>
    </row>
    <row r="325" spans="2:7">
      <c r="B325" s="166"/>
      <c r="C325" s="167"/>
      <c r="D325" s="168"/>
      <c r="E325" s="169"/>
      <c r="F325" s="177"/>
      <c r="G325" s="178">
        <f>+[3]BANCO!F14</f>
        <v>7738238.8300000001</v>
      </c>
    </row>
    <row r="326" spans="2:7">
      <c r="B326" s="166"/>
      <c r="C326" s="167"/>
      <c r="D326" s="168"/>
      <c r="E326" s="169"/>
      <c r="F326" s="177"/>
      <c r="G326" s="179"/>
    </row>
    <row r="327" spans="2:7">
      <c r="B327" s="166"/>
      <c r="C327" s="230"/>
      <c r="D327" s="230"/>
      <c r="E327" s="230"/>
      <c r="F327" s="230"/>
      <c r="G327" s="231">
        <f>+G323-G325</f>
        <v>-1.0617077350616455E-7</v>
      </c>
    </row>
    <row r="328" spans="2:7">
      <c r="B328" s="166"/>
      <c r="C328" s="167"/>
      <c r="D328" s="168"/>
      <c r="E328" s="169"/>
      <c r="F328" s="177"/>
      <c r="G328" s="171"/>
    </row>
    <row r="329" spans="2:7">
      <c r="B329" s="402" t="s">
        <v>1862</v>
      </c>
      <c r="C329" s="402"/>
      <c r="D329" s="402"/>
      <c r="E329" s="403" t="s">
        <v>876</v>
      </c>
      <c r="F329" s="403"/>
      <c r="G329" s="403"/>
    </row>
    <row r="330" spans="2:7">
      <c r="B330" s="392" t="s">
        <v>1863</v>
      </c>
      <c r="C330" s="392"/>
      <c r="D330" s="392"/>
      <c r="E330" s="393" t="s">
        <v>1357</v>
      </c>
      <c r="F330" s="393"/>
      <c r="G330" s="393"/>
    </row>
    <row r="331" spans="2:7" ht="15.75">
      <c r="B331" s="181"/>
      <c r="C331" s="182"/>
      <c r="E331" s="183"/>
      <c r="F331" s="183"/>
      <c r="G331" s="183"/>
    </row>
    <row r="332" spans="2:7" ht="15.75">
      <c r="B332" s="181"/>
      <c r="C332" s="182"/>
      <c r="D332" s="184"/>
      <c r="E332" s="184"/>
      <c r="F332" s="183"/>
      <c r="G332" s="171"/>
    </row>
    <row r="333" spans="2:7">
      <c r="B333" s="166"/>
      <c r="C333" s="167"/>
      <c r="D333" s="168"/>
      <c r="E333" s="169"/>
      <c r="F333" s="177"/>
      <c r="G333" s="171"/>
    </row>
    <row r="334" spans="2:7">
      <c r="B334" s="166"/>
      <c r="C334" s="167"/>
      <c r="D334" s="168"/>
      <c r="E334" s="169"/>
      <c r="F334" s="177"/>
      <c r="G334" s="171"/>
    </row>
    <row r="335" spans="2:7">
      <c r="B335" s="394" t="s">
        <v>877</v>
      </c>
      <c r="C335" s="394"/>
      <c r="D335" s="394"/>
      <c r="E335" s="394"/>
      <c r="F335" s="394"/>
      <c r="G335" s="394"/>
    </row>
    <row r="336" spans="2:7">
      <c r="B336" s="393" t="s">
        <v>743</v>
      </c>
      <c r="C336" s="393"/>
      <c r="D336" s="393"/>
      <c r="E336" s="393"/>
      <c r="F336" s="393"/>
      <c r="G336" s="393"/>
    </row>
    <row r="337" spans="2:7">
      <c r="B337" s="166"/>
      <c r="C337" s="167"/>
      <c r="D337" s="168"/>
      <c r="E337" s="169"/>
      <c r="F337" s="177"/>
      <c r="G337" s="171"/>
    </row>
    <row r="339" spans="2:7">
      <c r="G339" s="187"/>
    </row>
  </sheetData>
  <mergeCells count="11">
    <mergeCell ref="B329:D329"/>
    <mergeCell ref="E329:G329"/>
    <mergeCell ref="B330:D330"/>
    <mergeCell ref="E330:G330"/>
    <mergeCell ref="B335:G335"/>
    <mergeCell ref="B336:G336"/>
    <mergeCell ref="B8:G8"/>
    <mergeCell ref="B9:G9"/>
    <mergeCell ref="B10:G10"/>
    <mergeCell ref="B12:G12"/>
    <mergeCell ref="E13:F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2"/>
  <sheetViews>
    <sheetView topLeftCell="A277" workbookViewId="0">
      <selection activeCell="C291" sqref="C291"/>
    </sheetView>
  </sheetViews>
  <sheetFormatPr baseColWidth="10" defaultRowHeight="15"/>
  <cols>
    <col min="1" max="1" width="11.5703125" style="237" customWidth="1"/>
    <col min="2" max="2" width="16.28515625" style="237" customWidth="1"/>
    <col min="3" max="3" width="65.7109375" style="197" customWidth="1"/>
    <col min="4" max="4" width="17.140625" style="239" bestFit="1" customWidth="1"/>
    <col min="5" max="5" width="17.28515625" style="275" bestFit="1" customWidth="1"/>
    <col min="6" max="6" width="17.28515625" style="275" customWidth="1"/>
    <col min="7" max="7" width="37.28515625" style="197" customWidth="1"/>
    <col min="8" max="9" width="13.42578125" style="198" bestFit="1" customWidth="1"/>
    <col min="10" max="10" width="12.42578125" style="198" bestFit="1" customWidth="1"/>
    <col min="11" max="11" width="11.42578125" style="198"/>
    <col min="12" max="12" width="12.42578125" style="198" bestFit="1" customWidth="1"/>
    <col min="13" max="13" width="11.42578125" style="198"/>
    <col min="14" max="15" width="12.42578125" style="198" bestFit="1" customWidth="1"/>
    <col min="16" max="16384" width="11.42578125" style="197"/>
  </cols>
  <sheetData>
    <row r="1" spans="1:15" ht="23.25">
      <c r="A1" s="408" t="s">
        <v>1358</v>
      </c>
      <c r="B1" s="408"/>
      <c r="C1" s="408"/>
      <c r="D1" s="408"/>
      <c r="E1" s="408"/>
      <c r="F1" s="232"/>
    </row>
    <row r="2" spans="1:15" ht="20.25">
      <c r="A2" s="409" t="s">
        <v>1359</v>
      </c>
      <c r="B2" s="409"/>
      <c r="C2" s="409"/>
      <c r="D2" s="409"/>
      <c r="E2" s="409"/>
      <c r="F2" s="233"/>
    </row>
    <row r="3" spans="1:15" ht="18">
      <c r="A3" s="405" t="s">
        <v>1360</v>
      </c>
      <c r="B3" s="405"/>
      <c r="C3" s="405"/>
      <c r="D3" s="405"/>
      <c r="E3" s="405"/>
      <c r="F3" s="234"/>
    </row>
    <row r="4" spans="1:15" ht="15.75">
      <c r="A4" s="410" t="s">
        <v>1361</v>
      </c>
      <c r="B4" s="410"/>
      <c r="C4" s="410"/>
      <c r="D4" s="410"/>
      <c r="E4" s="410"/>
      <c r="F4" s="235"/>
    </row>
    <row r="5" spans="1:15">
      <c r="A5" s="411" t="s">
        <v>1864</v>
      </c>
      <c r="B5" s="411"/>
      <c r="C5" s="411"/>
      <c r="D5" s="411"/>
      <c r="E5" s="411"/>
      <c r="F5" s="236"/>
    </row>
    <row r="6" spans="1:15">
      <c r="C6" s="238"/>
      <c r="E6" s="240"/>
      <c r="F6" s="240"/>
      <c r="I6" s="404" t="s">
        <v>1362</v>
      </c>
      <c r="J6" s="404"/>
      <c r="K6" s="404"/>
      <c r="L6" s="404"/>
      <c r="M6" s="404"/>
      <c r="N6" s="404"/>
      <c r="O6" s="404"/>
    </row>
    <row r="7" spans="1:15">
      <c r="A7" s="241" t="s">
        <v>1058</v>
      </c>
      <c r="B7" s="241" t="s">
        <v>1363</v>
      </c>
      <c r="C7" s="242" t="s">
        <v>1364</v>
      </c>
      <c r="D7" s="243" t="s">
        <v>1365</v>
      </c>
      <c r="E7" s="244" t="s">
        <v>1366</v>
      </c>
      <c r="F7" s="245"/>
      <c r="I7" s="246">
        <v>0.05</v>
      </c>
      <c r="J7" s="190" t="s">
        <v>1367</v>
      </c>
      <c r="K7" s="190" t="s">
        <v>1368</v>
      </c>
      <c r="L7" s="190" t="s">
        <v>1369</v>
      </c>
      <c r="M7" s="190" t="s">
        <v>1865</v>
      </c>
      <c r="N7" s="190" t="s">
        <v>1370</v>
      </c>
      <c r="O7" s="190" t="s">
        <v>1371</v>
      </c>
    </row>
    <row r="8" spans="1:15">
      <c r="A8" s="247">
        <v>44389</v>
      </c>
      <c r="B8" s="248">
        <v>44442</v>
      </c>
      <c r="C8" s="193" t="s">
        <v>1737</v>
      </c>
      <c r="D8" s="192">
        <v>23312</v>
      </c>
      <c r="E8" s="249">
        <v>326026.33</v>
      </c>
      <c r="F8" s="249"/>
      <c r="G8" s="197" t="s">
        <v>1388</v>
      </c>
    </row>
    <row r="9" spans="1:15">
      <c r="A9" s="247">
        <v>44391</v>
      </c>
      <c r="B9" s="248">
        <v>44445</v>
      </c>
      <c r="C9" s="193" t="s">
        <v>1750</v>
      </c>
      <c r="D9" s="192">
        <v>23540</v>
      </c>
      <c r="E9" s="249">
        <v>156047.59</v>
      </c>
      <c r="F9" s="249"/>
      <c r="G9" s="197" t="s">
        <v>1388</v>
      </c>
    </row>
    <row r="10" spans="1:15">
      <c r="A10" s="247">
        <v>44391</v>
      </c>
      <c r="B10" s="248">
        <v>44440</v>
      </c>
      <c r="C10" s="193" t="s">
        <v>1712</v>
      </c>
      <c r="D10" s="192">
        <v>23541</v>
      </c>
      <c r="E10" s="249">
        <v>156047.59</v>
      </c>
      <c r="F10" s="249"/>
      <c r="G10" s="197" t="s">
        <v>1388</v>
      </c>
    </row>
    <row r="11" spans="1:15">
      <c r="A11" s="247">
        <v>44391</v>
      </c>
      <c r="B11" s="248">
        <v>44440</v>
      </c>
      <c r="C11" s="193" t="s">
        <v>1716</v>
      </c>
      <c r="D11" s="192">
        <v>23542</v>
      </c>
      <c r="E11" s="249">
        <v>196639.59</v>
      </c>
      <c r="F11" s="249"/>
      <c r="G11" s="197" t="s">
        <v>1388</v>
      </c>
    </row>
    <row r="12" spans="1:15">
      <c r="A12" s="247">
        <v>44392</v>
      </c>
      <c r="B12" s="248">
        <v>44440</v>
      </c>
      <c r="C12" s="193" t="s">
        <v>1706</v>
      </c>
      <c r="D12" s="192">
        <v>23569</v>
      </c>
      <c r="E12" s="249">
        <v>92293.49</v>
      </c>
      <c r="F12" s="249"/>
      <c r="G12" s="197" t="s">
        <v>1388</v>
      </c>
    </row>
    <row r="13" spans="1:15">
      <c r="A13" s="247">
        <v>44392</v>
      </c>
      <c r="B13" s="248">
        <v>44440</v>
      </c>
      <c r="C13" s="193" t="s">
        <v>1696</v>
      </c>
      <c r="D13" s="192">
        <v>23572</v>
      </c>
      <c r="E13" s="249">
        <v>29862.06</v>
      </c>
      <c r="F13" s="249"/>
      <c r="G13" s="197" t="s">
        <v>1388</v>
      </c>
    </row>
    <row r="14" spans="1:15">
      <c r="A14" s="247">
        <v>44392</v>
      </c>
      <c r="B14" s="248">
        <v>44440</v>
      </c>
      <c r="C14" s="193" t="s">
        <v>1717</v>
      </c>
      <c r="D14" s="192">
        <v>23574</v>
      </c>
      <c r="E14" s="249">
        <v>216615.92</v>
      </c>
      <c r="F14" s="249"/>
      <c r="G14" s="197" t="s">
        <v>1388</v>
      </c>
    </row>
    <row r="15" spans="1:15">
      <c r="A15" s="247">
        <v>44392</v>
      </c>
      <c r="B15" s="248">
        <v>44440</v>
      </c>
      <c r="C15" s="193" t="s">
        <v>1708</v>
      </c>
      <c r="D15" s="192">
        <v>23582</v>
      </c>
      <c r="E15" s="249">
        <v>97304.57</v>
      </c>
      <c r="F15" s="249"/>
      <c r="G15" s="197" t="s">
        <v>1388</v>
      </c>
    </row>
    <row r="16" spans="1:15">
      <c r="A16" s="247">
        <v>44392</v>
      </c>
      <c r="B16" s="248">
        <v>44440</v>
      </c>
      <c r="C16" s="193" t="s">
        <v>1702</v>
      </c>
      <c r="D16" s="192">
        <v>23588</v>
      </c>
      <c r="E16" s="249">
        <v>69220.12</v>
      </c>
      <c r="F16" s="249"/>
      <c r="G16" s="197" t="s">
        <v>1388</v>
      </c>
    </row>
    <row r="17" spans="1:14">
      <c r="A17" s="247">
        <v>44392</v>
      </c>
      <c r="B17" s="248">
        <v>44440</v>
      </c>
      <c r="C17" s="193" t="s">
        <v>1700</v>
      </c>
      <c r="D17" s="192">
        <v>23589</v>
      </c>
      <c r="E17" s="249">
        <v>50747.69</v>
      </c>
      <c r="F17" s="249"/>
      <c r="G17" s="197" t="s">
        <v>1388</v>
      </c>
    </row>
    <row r="18" spans="1:14">
      <c r="A18" s="247">
        <v>44392</v>
      </c>
      <c r="B18" s="248">
        <v>44442</v>
      </c>
      <c r="C18" s="193" t="s">
        <v>1726</v>
      </c>
      <c r="D18" s="192">
        <v>23594</v>
      </c>
      <c r="E18" s="249">
        <v>57683.43</v>
      </c>
      <c r="F18" s="249"/>
      <c r="G18" s="197" t="s">
        <v>1388</v>
      </c>
    </row>
    <row r="19" spans="1:14">
      <c r="A19" s="247">
        <v>44392</v>
      </c>
      <c r="B19" s="248">
        <v>44442</v>
      </c>
      <c r="C19" s="193" t="s">
        <v>1731</v>
      </c>
      <c r="D19" s="192">
        <v>23595</v>
      </c>
      <c r="E19" s="249">
        <v>103651.36</v>
      </c>
      <c r="F19" s="249"/>
      <c r="G19" s="197" t="s">
        <v>1388</v>
      </c>
    </row>
    <row r="20" spans="1:14">
      <c r="A20" s="247">
        <v>44392</v>
      </c>
      <c r="B20" s="248">
        <v>44442</v>
      </c>
      <c r="C20" s="193" t="s">
        <v>1732</v>
      </c>
      <c r="D20" s="192">
        <v>23596</v>
      </c>
      <c r="E20" s="249">
        <v>112247.21</v>
      </c>
      <c r="F20" s="249"/>
      <c r="G20" s="197" t="s">
        <v>1388</v>
      </c>
    </row>
    <row r="21" spans="1:14">
      <c r="A21" s="247">
        <v>44393</v>
      </c>
      <c r="B21" s="248">
        <v>44440</v>
      </c>
      <c r="C21" s="193" t="s">
        <v>1698</v>
      </c>
      <c r="D21" s="192">
        <v>23598</v>
      </c>
      <c r="E21" s="249">
        <v>42070.43</v>
      </c>
      <c r="F21" s="249"/>
      <c r="G21" s="197" t="s">
        <v>1388</v>
      </c>
    </row>
    <row r="22" spans="1:14">
      <c r="A22" s="247">
        <v>44393</v>
      </c>
      <c r="B22" s="248">
        <v>44442</v>
      </c>
      <c r="C22" s="193" t="s">
        <v>1729</v>
      </c>
      <c r="D22" s="192">
        <v>23617</v>
      </c>
      <c r="E22" s="249">
        <v>97219.8</v>
      </c>
      <c r="F22" s="249"/>
      <c r="G22" s="197" t="s">
        <v>1388</v>
      </c>
    </row>
    <row r="23" spans="1:14">
      <c r="A23" s="247">
        <v>44396</v>
      </c>
      <c r="B23" s="248">
        <v>44440</v>
      </c>
      <c r="C23" s="193" t="s">
        <v>1715</v>
      </c>
      <c r="D23" s="192">
        <v>23619</v>
      </c>
      <c r="E23" s="249">
        <v>196021.38</v>
      </c>
      <c r="F23" s="249"/>
      <c r="G23" s="197" t="s">
        <v>1388</v>
      </c>
    </row>
    <row r="24" spans="1:14">
      <c r="A24" s="247">
        <v>44397</v>
      </c>
      <c r="B24" s="248">
        <v>44442</v>
      </c>
      <c r="C24" s="193" t="s">
        <v>1727</v>
      </c>
      <c r="D24" s="192">
        <v>23624</v>
      </c>
      <c r="E24" s="249">
        <v>71344.02</v>
      </c>
      <c r="F24" s="249"/>
      <c r="G24" s="197" t="s">
        <v>1388</v>
      </c>
    </row>
    <row r="25" spans="1:14">
      <c r="A25" s="247">
        <v>44397</v>
      </c>
      <c r="B25" s="248">
        <v>44440</v>
      </c>
      <c r="C25" s="193" t="s">
        <v>1697</v>
      </c>
      <c r="D25" s="192">
        <v>23629</v>
      </c>
      <c r="E25" s="249">
        <v>30665.29</v>
      </c>
      <c r="F25" s="249"/>
      <c r="G25" s="197" t="s">
        <v>1388</v>
      </c>
    </row>
    <row r="26" spans="1:14">
      <c r="A26" s="247">
        <v>44398</v>
      </c>
      <c r="B26" s="248">
        <v>44440</v>
      </c>
      <c r="C26" s="193" t="s">
        <v>1701</v>
      </c>
      <c r="D26" s="192">
        <v>23638</v>
      </c>
      <c r="E26" s="249">
        <v>52177.35</v>
      </c>
      <c r="F26" s="249"/>
      <c r="G26" s="197" t="s">
        <v>1388</v>
      </c>
    </row>
    <row r="27" spans="1:14">
      <c r="A27" s="247">
        <v>44398</v>
      </c>
      <c r="B27" s="248">
        <v>44440</v>
      </c>
      <c r="C27" s="193" t="s">
        <v>1707</v>
      </c>
      <c r="D27" s="192">
        <v>23644</v>
      </c>
      <c r="E27" s="249">
        <v>95274.11</v>
      </c>
      <c r="F27" s="249"/>
      <c r="G27" s="197" t="s">
        <v>1388</v>
      </c>
    </row>
    <row r="28" spans="1:14">
      <c r="A28" s="247">
        <v>44403</v>
      </c>
      <c r="B28" s="248">
        <v>44440</v>
      </c>
      <c r="C28" s="193" t="s">
        <v>1714</v>
      </c>
      <c r="D28" s="192">
        <v>23660</v>
      </c>
      <c r="E28" s="249">
        <v>156956.85</v>
      </c>
      <c r="F28" s="249"/>
      <c r="G28" s="197" t="s">
        <v>1388</v>
      </c>
    </row>
    <row r="29" spans="1:14">
      <c r="A29" s="247">
        <v>44403</v>
      </c>
      <c r="B29" s="248">
        <v>44442</v>
      </c>
      <c r="C29" s="193" t="s">
        <v>1733</v>
      </c>
      <c r="D29" s="192">
        <v>23662</v>
      </c>
      <c r="E29" s="249">
        <v>125790.18</v>
      </c>
      <c r="F29" s="249"/>
      <c r="G29" s="197" t="s">
        <v>1388</v>
      </c>
    </row>
    <row r="30" spans="1:14">
      <c r="A30" s="247">
        <v>44403</v>
      </c>
      <c r="B30" s="248">
        <v>44442</v>
      </c>
      <c r="C30" s="193" t="s">
        <v>1142</v>
      </c>
      <c r="D30" s="192">
        <v>23694</v>
      </c>
      <c r="E30" s="249">
        <v>13500</v>
      </c>
      <c r="F30" s="249"/>
      <c r="G30" s="197" t="s">
        <v>102</v>
      </c>
      <c r="L30" s="198">
        <v>1500</v>
      </c>
      <c r="N30" s="198">
        <v>2700</v>
      </c>
    </row>
    <row r="31" spans="1:14">
      <c r="A31" s="247">
        <v>44404</v>
      </c>
      <c r="B31" s="248">
        <v>44442</v>
      </c>
      <c r="C31" s="193" t="s">
        <v>1724</v>
      </c>
      <c r="D31" s="192">
        <v>23736</v>
      </c>
      <c r="E31" s="249">
        <v>33900</v>
      </c>
      <c r="F31" s="249"/>
      <c r="G31" s="197" t="s">
        <v>102</v>
      </c>
      <c r="I31" s="198">
        <v>1500</v>
      </c>
    </row>
    <row r="32" spans="1:14">
      <c r="A32" s="247">
        <v>44404</v>
      </c>
      <c r="B32" s="248">
        <v>44442</v>
      </c>
      <c r="C32" s="193" t="s">
        <v>1124</v>
      </c>
      <c r="D32" s="192">
        <v>23743</v>
      </c>
      <c r="E32" s="249">
        <v>6420</v>
      </c>
      <c r="F32" s="249"/>
      <c r="G32" s="197" t="s">
        <v>1373</v>
      </c>
    </row>
    <row r="33" spans="1:15">
      <c r="A33" s="247">
        <v>44410</v>
      </c>
      <c r="B33" s="248">
        <v>44442</v>
      </c>
      <c r="C33" s="193" t="s">
        <v>1738</v>
      </c>
      <c r="D33" s="192">
        <v>23767</v>
      </c>
      <c r="E33" s="196">
        <v>357216.66</v>
      </c>
      <c r="F33" s="196"/>
      <c r="G33" s="197" t="s">
        <v>1379</v>
      </c>
      <c r="M33" s="198">
        <v>7290.14</v>
      </c>
      <c r="N33" s="198">
        <v>5651.39</v>
      </c>
    </row>
    <row r="34" spans="1:15">
      <c r="A34" s="247">
        <v>44413</v>
      </c>
      <c r="B34" s="248">
        <v>44445</v>
      </c>
      <c r="C34" s="193" t="s">
        <v>1745</v>
      </c>
      <c r="D34" s="192">
        <v>23800</v>
      </c>
      <c r="E34" s="196">
        <v>85958.7</v>
      </c>
      <c r="F34" s="196"/>
      <c r="G34" s="197" t="s">
        <v>1388</v>
      </c>
    </row>
    <row r="35" spans="1:15">
      <c r="A35" s="247">
        <v>44426</v>
      </c>
      <c r="B35" s="248">
        <v>44440</v>
      </c>
      <c r="C35" s="193" t="s">
        <v>1705</v>
      </c>
      <c r="D35" s="192">
        <v>23867</v>
      </c>
      <c r="E35" s="196">
        <v>89143.05</v>
      </c>
      <c r="F35" s="196"/>
      <c r="G35" s="197" t="s">
        <v>1388</v>
      </c>
    </row>
    <row r="36" spans="1:15">
      <c r="A36" s="247">
        <v>44426</v>
      </c>
      <c r="B36" s="248">
        <v>44454</v>
      </c>
      <c r="C36" s="193" t="s">
        <v>1378</v>
      </c>
      <c r="D36" s="192">
        <v>23869</v>
      </c>
      <c r="E36" s="196">
        <v>446569.73</v>
      </c>
      <c r="F36" s="196"/>
      <c r="G36" s="197" t="s">
        <v>1379</v>
      </c>
      <c r="I36" s="198">
        <v>23503.67</v>
      </c>
      <c r="N36" s="198">
        <v>75211.740000000005</v>
      </c>
    </row>
    <row r="37" spans="1:15">
      <c r="A37" s="247">
        <v>44427</v>
      </c>
      <c r="B37" s="248">
        <v>44440</v>
      </c>
      <c r="C37" s="193" t="s">
        <v>1710</v>
      </c>
      <c r="D37" s="192">
        <v>23878</v>
      </c>
      <c r="E37" s="196">
        <v>138765.48000000001</v>
      </c>
      <c r="F37" s="196"/>
      <c r="G37" s="197" t="s">
        <v>1388</v>
      </c>
    </row>
    <row r="38" spans="1:15">
      <c r="A38" s="247">
        <v>44427</v>
      </c>
      <c r="B38" s="248">
        <v>44440</v>
      </c>
      <c r="C38" s="193" t="s">
        <v>1289</v>
      </c>
      <c r="D38" s="192">
        <v>23881</v>
      </c>
      <c r="E38" s="196">
        <v>105958.7</v>
      </c>
      <c r="F38" s="196"/>
      <c r="G38" s="197" t="s">
        <v>1388</v>
      </c>
    </row>
    <row r="39" spans="1:15">
      <c r="A39" s="247">
        <v>44431</v>
      </c>
      <c r="B39" s="248">
        <v>44440</v>
      </c>
      <c r="C39" s="193" t="s">
        <v>1703</v>
      </c>
      <c r="D39" s="192">
        <v>23908</v>
      </c>
      <c r="E39" s="196">
        <v>85796.95</v>
      </c>
      <c r="F39" s="196"/>
      <c r="G39" s="197" t="s">
        <v>1388</v>
      </c>
    </row>
    <row r="40" spans="1:15">
      <c r="A40" s="247">
        <v>44431</v>
      </c>
      <c r="B40" s="248">
        <v>44440</v>
      </c>
      <c r="C40" s="193" t="s">
        <v>1709</v>
      </c>
      <c r="D40" s="192">
        <v>23909</v>
      </c>
      <c r="E40" s="196">
        <v>102811.94</v>
      </c>
      <c r="F40" s="196"/>
      <c r="G40" s="197" t="s">
        <v>1388</v>
      </c>
    </row>
    <row r="41" spans="1:15">
      <c r="A41" s="247">
        <v>44432</v>
      </c>
      <c r="B41" s="248">
        <v>44442</v>
      </c>
      <c r="C41" s="193" t="s">
        <v>1485</v>
      </c>
      <c r="D41" s="192">
        <v>23919</v>
      </c>
      <c r="E41" s="196">
        <v>55800</v>
      </c>
      <c r="F41" s="196">
        <f>+E41</f>
        <v>55800</v>
      </c>
      <c r="G41" s="197" t="s">
        <v>21</v>
      </c>
      <c r="K41" s="198">
        <v>6200</v>
      </c>
      <c r="N41" s="198">
        <v>11160</v>
      </c>
    </row>
    <row r="42" spans="1:15">
      <c r="A42" s="247">
        <v>44432</v>
      </c>
      <c r="B42" s="248">
        <v>44447</v>
      </c>
      <c r="C42" s="193" t="s">
        <v>1327</v>
      </c>
      <c r="D42" s="192">
        <v>23920</v>
      </c>
      <c r="E42" s="196">
        <v>117499.2</v>
      </c>
      <c r="F42" s="196"/>
      <c r="G42" s="197" t="s">
        <v>705</v>
      </c>
      <c r="I42" s="198">
        <v>5460</v>
      </c>
      <c r="O42" s="198">
        <v>5896.8</v>
      </c>
    </row>
    <row r="43" spans="1:15">
      <c r="A43" s="247">
        <v>44432</v>
      </c>
      <c r="B43" s="248">
        <v>44455</v>
      </c>
      <c r="C43" s="193" t="s">
        <v>1320</v>
      </c>
      <c r="D43" s="192">
        <v>23925</v>
      </c>
      <c r="E43" s="196">
        <v>3000000</v>
      </c>
      <c r="F43" s="196"/>
      <c r="G43" s="197" t="s">
        <v>1388</v>
      </c>
    </row>
    <row r="44" spans="1:15">
      <c r="A44" s="247">
        <v>44432</v>
      </c>
      <c r="B44" s="248">
        <v>44440</v>
      </c>
      <c r="C44" s="193" t="s">
        <v>1699</v>
      </c>
      <c r="D44" s="192">
        <v>23926</v>
      </c>
      <c r="E44" s="196">
        <v>43844.02</v>
      </c>
      <c r="F44" s="196"/>
      <c r="G44" s="197" t="s">
        <v>1388</v>
      </c>
    </row>
    <row r="45" spans="1:15">
      <c r="A45" s="247">
        <v>44432</v>
      </c>
      <c r="B45" s="248">
        <v>44447</v>
      </c>
      <c r="C45" s="193" t="s">
        <v>1191</v>
      </c>
      <c r="D45" s="192">
        <v>23927</v>
      </c>
      <c r="E45" s="196">
        <v>72000</v>
      </c>
      <c r="F45" s="196"/>
      <c r="G45" s="197" t="s">
        <v>102</v>
      </c>
      <c r="L45" s="198">
        <v>8000</v>
      </c>
      <c r="N45" s="198">
        <v>14400</v>
      </c>
    </row>
    <row r="46" spans="1:15">
      <c r="A46" s="247">
        <v>44432</v>
      </c>
      <c r="B46" s="248">
        <v>44442</v>
      </c>
      <c r="C46" s="193" t="s">
        <v>1152</v>
      </c>
      <c r="D46" s="192">
        <v>23928</v>
      </c>
      <c r="E46" s="196">
        <v>135000</v>
      </c>
      <c r="F46" s="196"/>
      <c r="G46" s="197" t="s">
        <v>102</v>
      </c>
      <c r="L46" s="198">
        <v>15000</v>
      </c>
      <c r="N46" s="198">
        <v>27000</v>
      </c>
    </row>
    <row r="47" spans="1:15">
      <c r="A47" s="247">
        <v>44432</v>
      </c>
      <c r="B47" s="248">
        <v>44449</v>
      </c>
      <c r="C47" s="193" t="s">
        <v>1781</v>
      </c>
      <c r="D47" s="192">
        <v>23929</v>
      </c>
      <c r="E47" s="196">
        <v>67500</v>
      </c>
      <c r="F47" s="196"/>
      <c r="G47" s="197" t="s">
        <v>102</v>
      </c>
      <c r="L47" s="198">
        <v>7500</v>
      </c>
      <c r="N47" s="198">
        <v>13500</v>
      </c>
    </row>
    <row r="48" spans="1:15">
      <c r="A48" s="247">
        <v>44432</v>
      </c>
      <c r="B48" s="248">
        <v>44445</v>
      </c>
      <c r="C48" s="193" t="s">
        <v>1160</v>
      </c>
      <c r="D48" s="192">
        <v>23930</v>
      </c>
      <c r="E48" s="196">
        <v>45200</v>
      </c>
      <c r="F48" s="196"/>
      <c r="G48" s="197" t="s">
        <v>102</v>
      </c>
      <c r="I48" s="198">
        <v>2000</v>
      </c>
    </row>
    <row r="49" spans="1:15">
      <c r="A49" s="247">
        <v>44432</v>
      </c>
      <c r="B49" s="248">
        <v>44447</v>
      </c>
      <c r="C49" s="193" t="s">
        <v>1166</v>
      </c>
      <c r="D49" s="192">
        <v>23931</v>
      </c>
      <c r="E49" s="196">
        <v>169500</v>
      </c>
      <c r="F49" s="196"/>
      <c r="G49" s="197" t="s">
        <v>102</v>
      </c>
      <c r="I49" s="198">
        <v>7500</v>
      </c>
    </row>
    <row r="50" spans="1:15">
      <c r="A50" s="247">
        <v>44432</v>
      </c>
      <c r="B50" s="248">
        <v>44449</v>
      </c>
      <c r="C50" s="193" t="s">
        <v>1149</v>
      </c>
      <c r="D50" s="192">
        <v>23932</v>
      </c>
      <c r="E50" s="196">
        <v>54000</v>
      </c>
      <c r="F50" s="196"/>
      <c r="G50" s="197" t="s">
        <v>102</v>
      </c>
      <c r="L50" s="198">
        <v>6000</v>
      </c>
      <c r="N50" s="198">
        <f>5400*2</f>
        <v>10800</v>
      </c>
    </row>
    <row r="51" spans="1:15">
      <c r="A51" s="247">
        <v>44432</v>
      </c>
      <c r="B51" s="248">
        <v>44442</v>
      </c>
      <c r="C51" s="193" t="s">
        <v>1151</v>
      </c>
      <c r="D51" s="192">
        <v>23933</v>
      </c>
      <c r="E51" s="196">
        <v>101700</v>
      </c>
      <c r="F51" s="196"/>
      <c r="G51" s="197" t="s">
        <v>102</v>
      </c>
      <c r="I51" s="198">
        <v>4500</v>
      </c>
    </row>
    <row r="52" spans="1:15">
      <c r="A52" s="247">
        <v>44432</v>
      </c>
      <c r="B52" s="248">
        <v>44440</v>
      </c>
      <c r="C52" s="193" t="s">
        <v>147</v>
      </c>
      <c r="D52" s="192">
        <v>23935</v>
      </c>
      <c r="E52" s="196">
        <v>31640</v>
      </c>
      <c r="F52" s="196"/>
      <c r="G52" s="197" t="s">
        <v>102</v>
      </c>
      <c r="I52" s="198">
        <v>1400</v>
      </c>
    </row>
    <row r="53" spans="1:15">
      <c r="A53" s="247">
        <v>44432</v>
      </c>
      <c r="B53" s="248">
        <v>44449</v>
      </c>
      <c r="C53" s="193" t="s">
        <v>1144</v>
      </c>
      <c r="D53" s="192">
        <v>23936</v>
      </c>
      <c r="E53" s="196">
        <v>90000</v>
      </c>
      <c r="F53" s="196"/>
      <c r="G53" s="197" t="s">
        <v>102</v>
      </c>
      <c r="L53" s="198">
        <v>10000</v>
      </c>
      <c r="N53" s="198">
        <f>3600*5</f>
        <v>18000</v>
      </c>
    </row>
    <row r="54" spans="1:15">
      <c r="A54" s="247">
        <v>44432</v>
      </c>
      <c r="B54" s="248">
        <v>44440</v>
      </c>
      <c r="C54" s="193" t="s">
        <v>1153</v>
      </c>
      <c r="D54" s="192">
        <v>23939</v>
      </c>
      <c r="E54" s="196">
        <v>45200</v>
      </c>
      <c r="F54" s="196"/>
      <c r="G54" s="197" t="s">
        <v>102</v>
      </c>
      <c r="I54" s="198">
        <v>2000</v>
      </c>
    </row>
    <row r="55" spans="1:15">
      <c r="A55" s="247">
        <v>44432</v>
      </c>
      <c r="B55" s="248">
        <v>44445</v>
      </c>
      <c r="C55" s="193" t="s">
        <v>1145</v>
      </c>
      <c r="D55" s="192">
        <v>23940</v>
      </c>
      <c r="E55" s="196">
        <v>54000</v>
      </c>
      <c r="F55" s="196"/>
      <c r="G55" s="197" t="s">
        <v>102</v>
      </c>
      <c r="L55" s="198">
        <v>6000</v>
      </c>
      <c r="N55" s="198">
        <v>10800</v>
      </c>
    </row>
    <row r="56" spans="1:15">
      <c r="A56" s="247">
        <v>44432</v>
      </c>
      <c r="B56" s="248">
        <v>44445</v>
      </c>
      <c r="C56" s="193" t="s">
        <v>1324</v>
      </c>
      <c r="D56" s="192">
        <v>23943</v>
      </c>
      <c r="E56" s="196">
        <v>28250</v>
      </c>
      <c r="F56" s="196"/>
      <c r="G56" s="197" t="s">
        <v>102</v>
      </c>
      <c r="I56" s="198">
        <v>1250</v>
      </c>
    </row>
    <row r="57" spans="1:15">
      <c r="A57" s="247">
        <v>44432</v>
      </c>
      <c r="B57" s="248">
        <v>44445</v>
      </c>
      <c r="C57" s="193" t="s">
        <v>1724</v>
      </c>
      <c r="D57" s="192">
        <v>23945</v>
      </c>
      <c r="E57" s="196">
        <v>67800</v>
      </c>
      <c r="F57" s="196"/>
      <c r="G57" s="197" t="s">
        <v>102</v>
      </c>
      <c r="I57" s="198">
        <v>3000</v>
      </c>
    </row>
    <row r="58" spans="1:15">
      <c r="A58" s="247">
        <v>44432</v>
      </c>
      <c r="B58" s="248">
        <v>44442</v>
      </c>
      <c r="C58" s="193" t="s">
        <v>1164</v>
      </c>
      <c r="D58" s="192">
        <v>23947</v>
      </c>
      <c r="E58" s="196">
        <v>33900</v>
      </c>
      <c r="F58" s="196"/>
      <c r="G58" s="197" t="s">
        <v>102</v>
      </c>
      <c r="I58" s="198">
        <v>1500</v>
      </c>
    </row>
    <row r="59" spans="1:15">
      <c r="A59" s="247">
        <v>44432</v>
      </c>
      <c r="B59" s="248">
        <v>44445</v>
      </c>
      <c r="C59" s="193" t="s">
        <v>1161</v>
      </c>
      <c r="D59" s="192">
        <v>23948</v>
      </c>
      <c r="E59" s="196">
        <v>27000</v>
      </c>
      <c r="F59" s="196"/>
      <c r="G59" s="197" t="s">
        <v>102</v>
      </c>
      <c r="L59" s="198">
        <v>3000</v>
      </c>
      <c r="N59" s="198">
        <v>5400</v>
      </c>
    </row>
    <row r="60" spans="1:15">
      <c r="A60" s="247">
        <v>44432</v>
      </c>
      <c r="B60" s="248">
        <v>44442</v>
      </c>
      <c r="C60" s="193" t="s">
        <v>1129</v>
      </c>
      <c r="D60" s="192">
        <v>23950</v>
      </c>
      <c r="E60" s="196">
        <v>69608</v>
      </c>
      <c r="F60" s="196"/>
      <c r="G60" s="197" t="s">
        <v>705</v>
      </c>
      <c r="I60" s="198">
        <v>3080</v>
      </c>
    </row>
    <row r="61" spans="1:15">
      <c r="A61" s="247">
        <v>44432</v>
      </c>
      <c r="B61" s="248">
        <v>44442</v>
      </c>
      <c r="C61" s="193" t="s">
        <v>1108</v>
      </c>
      <c r="D61" s="192">
        <v>23952</v>
      </c>
      <c r="E61" s="196">
        <v>35562.720000000001</v>
      </c>
      <c r="F61" s="196"/>
      <c r="G61" s="197" t="s">
        <v>168</v>
      </c>
      <c r="I61" s="198">
        <v>1652.54</v>
      </c>
      <c r="O61" s="198">
        <v>1784.75</v>
      </c>
    </row>
    <row r="62" spans="1:15">
      <c r="A62" s="247">
        <v>44432</v>
      </c>
      <c r="B62" s="248">
        <v>44442</v>
      </c>
      <c r="C62" s="193" t="s">
        <v>1147</v>
      </c>
      <c r="D62" s="192">
        <v>23954</v>
      </c>
      <c r="E62" s="196">
        <v>54000</v>
      </c>
      <c r="F62" s="196"/>
      <c r="G62" s="197" t="s">
        <v>102</v>
      </c>
      <c r="L62" s="198">
        <v>6000</v>
      </c>
      <c r="N62" s="198">
        <v>10800</v>
      </c>
    </row>
    <row r="63" spans="1:15">
      <c r="A63" s="247">
        <v>44432</v>
      </c>
      <c r="B63" s="248">
        <v>44442</v>
      </c>
      <c r="C63" s="193" t="s">
        <v>1165</v>
      </c>
      <c r="D63" s="192">
        <v>23955</v>
      </c>
      <c r="E63" s="196">
        <v>67800</v>
      </c>
      <c r="F63" s="196"/>
      <c r="G63" s="197" t="s">
        <v>102</v>
      </c>
      <c r="I63" s="198">
        <v>3000</v>
      </c>
    </row>
    <row r="64" spans="1:15">
      <c r="A64" s="247">
        <v>44432</v>
      </c>
      <c r="B64" s="248">
        <v>44442</v>
      </c>
      <c r="C64" s="193" t="s">
        <v>1171</v>
      </c>
      <c r="D64" s="192">
        <v>23956</v>
      </c>
      <c r="E64" s="196">
        <v>67800</v>
      </c>
      <c r="F64" s="196"/>
      <c r="G64" s="197" t="s">
        <v>102</v>
      </c>
      <c r="I64" s="198">
        <v>3000</v>
      </c>
    </row>
    <row r="65" spans="1:15">
      <c r="A65" s="247">
        <v>44432</v>
      </c>
      <c r="B65" s="248">
        <v>44442</v>
      </c>
      <c r="C65" s="193" t="s">
        <v>1725</v>
      </c>
      <c r="D65" s="192">
        <v>23957</v>
      </c>
      <c r="E65" s="196">
        <v>56500</v>
      </c>
      <c r="F65" s="196"/>
      <c r="G65" s="197" t="s">
        <v>102</v>
      </c>
      <c r="I65" s="198">
        <v>2500</v>
      </c>
    </row>
    <row r="66" spans="1:15">
      <c r="A66" s="247">
        <v>44432</v>
      </c>
      <c r="B66" s="248">
        <v>44440</v>
      </c>
      <c r="C66" s="193" t="s">
        <v>1163</v>
      </c>
      <c r="D66" s="192">
        <v>23959</v>
      </c>
      <c r="E66" s="196">
        <v>33900</v>
      </c>
      <c r="F66" s="196"/>
      <c r="G66" s="197" t="s">
        <v>102</v>
      </c>
      <c r="I66" s="198">
        <v>1500</v>
      </c>
    </row>
    <row r="67" spans="1:15">
      <c r="A67" s="247">
        <v>44432</v>
      </c>
      <c r="B67" s="248">
        <v>44440</v>
      </c>
      <c r="C67" s="193" t="s">
        <v>1455</v>
      </c>
      <c r="D67" s="192">
        <v>23960</v>
      </c>
      <c r="E67" s="196">
        <v>126000</v>
      </c>
      <c r="F67" s="196"/>
      <c r="G67" s="197" t="s">
        <v>102</v>
      </c>
      <c r="L67" s="198">
        <f>2000*7</f>
        <v>14000</v>
      </c>
      <c r="N67" s="198">
        <f>3600*7</f>
        <v>25200</v>
      </c>
    </row>
    <row r="68" spans="1:15">
      <c r="A68" s="247">
        <v>44432</v>
      </c>
      <c r="B68" s="248">
        <v>44445</v>
      </c>
      <c r="C68" s="193" t="s">
        <v>1066</v>
      </c>
      <c r="D68" s="192">
        <v>23966</v>
      </c>
      <c r="E68" s="195">
        <v>178820.44</v>
      </c>
      <c r="F68" s="196"/>
      <c r="G68" s="197" t="s">
        <v>705</v>
      </c>
      <c r="I68" s="198">
        <v>8309.5</v>
      </c>
      <c r="O68" s="198">
        <v>8974.26</v>
      </c>
    </row>
    <row r="69" spans="1:15">
      <c r="A69" s="247">
        <v>44432</v>
      </c>
      <c r="B69" s="248">
        <v>44442</v>
      </c>
      <c r="C69" s="193" t="s">
        <v>1162</v>
      </c>
      <c r="D69" s="192">
        <v>23967</v>
      </c>
      <c r="E69" s="196">
        <v>27000</v>
      </c>
      <c r="F69" s="196"/>
      <c r="G69" s="197" t="s">
        <v>102</v>
      </c>
      <c r="L69" s="198">
        <v>3000</v>
      </c>
      <c r="N69" s="198">
        <v>5400</v>
      </c>
    </row>
    <row r="70" spans="1:15">
      <c r="A70" s="247">
        <v>44432</v>
      </c>
      <c r="B70" s="248">
        <v>44440</v>
      </c>
      <c r="C70" s="193" t="s">
        <v>1718</v>
      </c>
      <c r="D70" s="192">
        <v>23969</v>
      </c>
      <c r="E70" s="196">
        <v>300000</v>
      </c>
      <c r="F70" s="196"/>
      <c r="G70" s="197" t="s">
        <v>1388</v>
      </c>
    </row>
    <row r="71" spans="1:15">
      <c r="A71" s="247">
        <v>44432</v>
      </c>
      <c r="B71" s="248">
        <v>44442</v>
      </c>
      <c r="C71" s="193" t="s">
        <v>1723</v>
      </c>
      <c r="D71" s="192">
        <v>23970</v>
      </c>
      <c r="E71" s="196">
        <v>30000</v>
      </c>
      <c r="F71" s="196"/>
      <c r="G71" s="197" t="s">
        <v>1388</v>
      </c>
    </row>
    <row r="72" spans="1:15">
      <c r="A72" s="247">
        <v>44432</v>
      </c>
      <c r="B72" s="248">
        <v>44445</v>
      </c>
      <c r="C72" s="193" t="s">
        <v>1143</v>
      </c>
      <c r="D72" s="192">
        <v>23971</v>
      </c>
      <c r="E72" s="196">
        <v>36000</v>
      </c>
      <c r="F72" s="196"/>
      <c r="G72" s="197" t="s">
        <v>102</v>
      </c>
      <c r="L72" s="198">
        <v>4000</v>
      </c>
      <c r="N72" s="198">
        <v>7200</v>
      </c>
    </row>
    <row r="73" spans="1:15">
      <c r="A73" s="247">
        <v>44432</v>
      </c>
      <c r="B73" s="248">
        <v>44442</v>
      </c>
      <c r="C73" s="193" t="s">
        <v>1728</v>
      </c>
      <c r="D73" s="192">
        <v>23972</v>
      </c>
      <c r="E73" s="196">
        <v>73592.91</v>
      </c>
      <c r="F73" s="196"/>
      <c r="G73" s="197" t="s">
        <v>1388</v>
      </c>
    </row>
    <row r="74" spans="1:15">
      <c r="A74" s="247">
        <v>44432</v>
      </c>
      <c r="B74" s="248">
        <v>44440</v>
      </c>
      <c r="C74" s="193" t="s">
        <v>1711</v>
      </c>
      <c r="D74" s="192">
        <v>23973</v>
      </c>
      <c r="E74" s="196">
        <v>150779.70000000001</v>
      </c>
      <c r="F74" s="196"/>
      <c r="G74" s="197" t="s">
        <v>1388</v>
      </c>
    </row>
    <row r="75" spans="1:15">
      <c r="A75" s="247">
        <v>44433</v>
      </c>
      <c r="B75" s="248">
        <v>44442</v>
      </c>
      <c r="C75" s="193" t="s">
        <v>1148</v>
      </c>
      <c r="D75" s="192">
        <v>23974</v>
      </c>
      <c r="E75" s="196">
        <v>81000</v>
      </c>
      <c r="F75" s="196"/>
      <c r="G75" s="197" t="s">
        <v>102</v>
      </c>
      <c r="L75" s="198">
        <v>9000</v>
      </c>
      <c r="N75" s="198">
        <v>16200</v>
      </c>
    </row>
    <row r="76" spans="1:15">
      <c r="A76" s="247">
        <v>44433</v>
      </c>
      <c r="B76" s="248">
        <v>44442</v>
      </c>
      <c r="C76" s="193" t="s">
        <v>1146</v>
      </c>
      <c r="D76" s="192">
        <v>23975</v>
      </c>
      <c r="E76" s="196">
        <v>54000</v>
      </c>
      <c r="F76" s="196"/>
      <c r="G76" s="197" t="s">
        <v>102</v>
      </c>
      <c r="L76" s="198">
        <v>6000</v>
      </c>
      <c r="N76" s="198">
        <v>10800</v>
      </c>
    </row>
    <row r="77" spans="1:15">
      <c r="A77" s="247">
        <v>44433</v>
      </c>
      <c r="B77" s="248">
        <v>44445</v>
      </c>
      <c r="C77" s="193" t="s">
        <v>1747</v>
      </c>
      <c r="D77" s="192">
        <v>23977</v>
      </c>
      <c r="E77" s="196">
        <f>23444.27-2344.42</f>
        <v>21099.85</v>
      </c>
      <c r="F77" s="196">
        <f>SUM(E72:E77)</f>
        <v>416472.45999999996</v>
      </c>
      <c r="G77" s="197" t="s">
        <v>1869</v>
      </c>
      <c r="J77" s="198">
        <v>2344.42</v>
      </c>
    </row>
    <row r="78" spans="1:15">
      <c r="A78" s="247">
        <v>44433</v>
      </c>
      <c r="B78" s="248">
        <v>44445</v>
      </c>
      <c r="C78" s="193" t="s">
        <v>1747</v>
      </c>
      <c r="D78" s="192">
        <v>23977</v>
      </c>
      <c r="E78" s="196">
        <v>78147.570000000007</v>
      </c>
      <c r="F78" s="196">
        <f>SUM(E1:E78)</f>
        <v>9779391.9800000004</v>
      </c>
      <c r="G78" s="197" t="s">
        <v>1874</v>
      </c>
    </row>
    <row r="79" spans="1:15">
      <c r="A79" s="247">
        <v>44433</v>
      </c>
      <c r="B79" s="248">
        <v>44442</v>
      </c>
      <c r="C79" s="193" t="s">
        <v>1150</v>
      </c>
      <c r="D79" s="192">
        <v>23978</v>
      </c>
      <c r="E79" s="196">
        <v>81000</v>
      </c>
      <c r="F79" s="196"/>
      <c r="G79" s="197" t="s">
        <v>102</v>
      </c>
      <c r="L79" s="198">
        <v>9000</v>
      </c>
      <c r="N79" s="198">
        <v>16200</v>
      </c>
    </row>
    <row r="80" spans="1:15">
      <c r="A80" s="247">
        <v>44434</v>
      </c>
      <c r="B80" s="248">
        <v>44442</v>
      </c>
      <c r="C80" s="193" t="s">
        <v>1736</v>
      </c>
      <c r="D80" s="192">
        <v>23980</v>
      </c>
      <c r="E80" s="196">
        <v>197750</v>
      </c>
      <c r="F80" s="196"/>
      <c r="G80" s="197" t="s">
        <v>102</v>
      </c>
      <c r="I80" s="198">
        <v>8750</v>
      </c>
    </row>
    <row r="81" spans="1:7">
      <c r="A81" s="247">
        <v>44434</v>
      </c>
      <c r="B81" s="248">
        <v>44442</v>
      </c>
      <c r="C81" s="193" t="s">
        <v>1734</v>
      </c>
      <c r="D81" s="192">
        <v>23984</v>
      </c>
      <c r="E81" s="196">
        <v>128266.04</v>
      </c>
      <c r="F81" s="196"/>
      <c r="G81" s="197" t="s">
        <v>1872</v>
      </c>
    </row>
    <row r="82" spans="1:7">
      <c r="A82" s="247">
        <v>44434</v>
      </c>
      <c r="B82" s="248">
        <v>44442</v>
      </c>
      <c r="C82" s="193" t="s">
        <v>1720</v>
      </c>
      <c r="D82" s="192">
        <v>23985</v>
      </c>
      <c r="E82" s="196">
        <v>19036.689999999999</v>
      </c>
      <c r="F82" s="196"/>
      <c r="G82" s="197" t="s">
        <v>1872</v>
      </c>
    </row>
    <row r="83" spans="1:7">
      <c r="A83" s="247">
        <v>44434</v>
      </c>
      <c r="B83" s="248">
        <v>44442</v>
      </c>
      <c r="C83" s="193" t="s">
        <v>1735</v>
      </c>
      <c r="D83" s="192">
        <v>23986</v>
      </c>
      <c r="E83" s="196">
        <v>152906.32</v>
      </c>
      <c r="F83" s="196"/>
      <c r="G83" s="197" t="s">
        <v>1872</v>
      </c>
    </row>
    <row r="84" spans="1:7">
      <c r="A84" s="247">
        <v>44434</v>
      </c>
      <c r="B84" s="248">
        <v>44440</v>
      </c>
      <c r="C84" s="193" t="s">
        <v>1713</v>
      </c>
      <c r="D84" s="192">
        <v>23987</v>
      </c>
      <c r="E84" s="196">
        <v>156047.59</v>
      </c>
      <c r="F84" s="196"/>
      <c r="G84" s="197" t="s">
        <v>1872</v>
      </c>
    </row>
    <row r="85" spans="1:7">
      <c r="A85" s="247">
        <v>44434</v>
      </c>
      <c r="B85" s="248">
        <v>44445</v>
      </c>
      <c r="C85" s="193" t="s">
        <v>1740</v>
      </c>
      <c r="D85" s="192">
        <v>23988</v>
      </c>
      <c r="E85" s="196">
        <v>21344.02</v>
      </c>
      <c r="F85" s="196"/>
      <c r="G85" s="197" t="s">
        <v>1872</v>
      </c>
    </row>
    <row r="86" spans="1:7">
      <c r="A86" s="247">
        <v>44434</v>
      </c>
      <c r="B86" s="248">
        <v>44441</v>
      </c>
      <c r="C86" s="193" t="s">
        <v>1719</v>
      </c>
      <c r="D86" s="192">
        <v>23989</v>
      </c>
      <c r="E86" s="196">
        <v>144261.54</v>
      </c>
      <c r="F86" s="196"/>
      <c r="G86" s="197" t="s">
        <v>1871</v>
      </c>
    </row>
    <row r="87" spans="1:7">
      <c r="A87" s="247">
        <v>44434</v>
      </c>
      <c r="B87" s="248">
        <v>44445</v>
      </c>
      <c r="C87" s="193" t="s">
        <v>1744</v>
      </c>
      <c r="D87" s="192">
        <v>23990</v>
      </c>
      <c r="E87" s="196">
        <v>78266.5</v>
      </c>
      <c r="F87" s="196"/>
      <c r="G87" s="197" t="s">
        <v>1872</v>
      </c>
    </row>
    <row r="88" spans="1:7">
      <c r="A88" s="247">
        <v>44434</v>
      </c>
      <c r="B88" s="248">
        <v>44445</v>
      </c>
      <c r="C88" s="193" t="s">
        <v>1741</v>
      </c>
      <c r="D88" s="192">
        <v>23991</v>
      </c>
      <c r="E88" s="196">
        <v>49775.81</v>
      </c>
      <c r="F88" s="196"/>
      <c r="G88" s="197" t="s">
        <v>1872</v>
      </c>
    </row>
    <row r="89" spans="1:7">
      <c r="A89" s="247">
        <v>44434</v>
      </c>
      <c r="B89" s="248">
        <v>44445</v>
      </c>
      <c r="C89" s="193" t="s">
        <v>1749</v>
      </c>
      <c r="D89" s="192">
        <v>23992</v>
      </c>
      <c r="E89" s="196">
        <v>123064.14</v>
      </c>
      <c r="F89" s="196"/>
      <c r="G89" s="197" t="s">
        <v>1872</v>
      </c>
    </row>
    <row r="90" spans="1:7">
      <c r="A90" s="247">
        <v>44434</v>
      </c>
      <c r="B90" s="248">
        <v>44445</v>
      </c>
      <c r="C90" s="193" t="s">
        <v>1746</v>
      </c>
      <c r="D90" s="192">
        <v>23993</v>
      </c>
      <c r="E90" s="196">
        <v>95777</v>
      </c>
      <c r="F90" s="196"/>
      <c r="G90" s="197" t="s">
        <v>1872</v>
      </c>
    </row>
    <row r="91" spans="1:7">
      <c r="A91" s="247">
        <v>44434</v>
      </c>
      <c r="B91" s="248">
        <v>44445</v>
      </c>
      <c r="C91" s="193" t="s">
        <v>1743</v>
      </c>
      <c r="D91" s="192">
        <v>23994</v>
      </c>
      <c r="E91" s="196">
        <v>76929.34</v>
      </c>
      <c r="F91" s="196"/>
      <c r="G91" s="197" t="s">
        <v>1872</v>
      </c>
    </row>
    <row r="92" spans="1:7">
      <c r="A92" s="247">
        <v>44435</v>
      </c>
      <c r="B92" s="248">
        <v>44448</v>
      </c>
      <c r="C92" s="193" t="s">
        <v>1767</v>
      </c>
      <c r="D92" s="192">
        <v>23995</v>
      </c>
      <c r="E92" s="196">
        <v>6229.81</v>
      </c>
      <c r="F92" s="196"/>
      <c r="G92" s="197" t="s">
        <v>1872</v>
      </c>
    </row>
    <row r="93" spans="1:7">
      <c r="A93" s="247">
        <v>44435</v>
      </c>
      <c r="B93" s="248">
        <v>44445</v>
      </c>
      <c r="C93" s="193" t="s">
        <v>1748</v>
      </c>
      <c r="D93" s="192">
        <v>23996</v>
      </c>
      <c r="E93" s="196">
        <v>116303.65</v>
      </c>
      <c r="F93" s="196"/>
      <c r="G93" s="197" t="s">
        <v>1872</v>
      </c>
    </row>
    <row r="94" spans="1:7">
      <c r="A94" s="247">
        <v>44435</v>
      </c>
      <c r="B94" s="248">
        <v>44449</v>
      </c>
      <c r="C94" s="193" t="s">
        <v>1782</v>
      </c>
      <c r="D94" s="192">
        <v>23997</v>
      </c>
      <c r="E94" s="196">
        <v>140000</v>
      </c>
      <c r="F94" s="196"/>
      <c r="G94" s="197" t="s">
        <v>1872</v>
      </c>
    </row>
    <row r="95" spans="1:7">
      <c r="A95" s="247">
        <v>44435</v>
      </c>
      <c r="B95" s="248">
        <v>44440</v>
      </c>
      <c r="C95" s="193" t="s">
        <v>1704</v>
      </c>
      <c r="D95" s="192">
        <v>23998</v>
      </c>
      <c r="E95" s="196">
        <v>85958.7</v>
      </c>
      <c r="F95" s="196"/>
      <c r="G95" s="197" t="s">
        <v>1872</v>
      </c>
    </row>
    <row r="96" spans="1:7">
      <c r="A96" s="247">
        <v>44435</v>
      </c>
      <c r="B96" s="248">
        <v>44447</v>
      </c>
      <c r="C96" s="193" t="s">
        <v>1764</v>
      </c>
      <c r="D96" s="192">
        <v>24000</v>
      </c>
      <c r="E96" s="196">
        <v>179803.3</v>
      </c>
      <c r="F96" s="196"/>
      <c r="G96" s="197" t="s">
        <v>1872</v>
      </c>
    </row>
    <row r="97" spans="1:7">
      <c r="A97" s="247">
        <v>44435</v>
      </c>
      <c r="B97" s="248">
        <v>44447</v>
      </c>
      <c r="C97" s="193" t="s">
        <v>1760</v>
      </c>
      <c r="D97" s="192">
        <v>24001</v>
      </c>
      <c r="E97" s="196">
        <v>66624.37</v>
      </c>
      <c r="F97" s="196"/>
      <c r="G97" s="197" t="s">
        <v>1872</v>
      </c>
    </row>
    <row r="98" spans="1:7">
      <c r="A98" s="247">
        <v>44435</v>
      </c>
      <c r="B98" s="248">
        <v>44447</v>
      </c>
      <c r="C98" s="193" t="s">
        <v>1763</v>
      </c>
      <c r="D98" s="192">
        <v>24002</v>
      </c>
      <c r="E98" s="196">
        <v>122382.3</v>
      </c>
      <c r="F98" s="196"/>
      <c r="G98" s="197" t="s">
        <v>1872</v>
      </c>
    </row>
    <row r="99" spans="1:7">
      <c r="A99" s="247">
        <v>44435</v>
      </c>
      <c r="B99" s="248">
        <v>44442</v>
      </c>
      <c r="C99" s="193" t="s">
        <v>1730</v>
      </c>
      <c r="D99" s="192">
        <v>24003</v>
      </c>
      <c r="E99" s="196">
        <v>102118.93</v>
      </c>
      <c r="F99" s="196"/>
      <c r="G99" s="197" t="s">
        <v>1872</v>
      </c>
    </row>
    <row r="100" spans="1:7">
      <c r="A100" s="247">
        <v>44435</v>
      </c>
      <c r="B100" s="248">
        <v>44442</v>
      </c>
      <c r="C100" s="193" t="s">
        <v>1722</v>
      </c>
      <c r="D100" s="192">
        <v>24004</v>
      </c>
      <c r="E100" s="196">
        <v>28174.11</v>
      </c>
      <c r="F100" s="196"/>
      <c r="G100" s="197" t="s">
        <v>1872</v>
      </c>
    </row>
    <row r="101" spans="1:7">
      <c r="A101" s="247">
        <v>44435</v>
      </c>
      <c r="B101" s="248">
        <v>44442</v>
      </c>
      <c r="C101" s="193" t="s">
        <v>1721</v>
      </c>
      <c r="D101" s="192">
        <v>24006</v>
      </c>
      <c r="E101" s="196">
        <v>25958.7</v>
      </c>
      <c r="F101" s="196"/>
      <c r="G101" s="197" t="s">
        <v>1872</v>
      </c>
    </row>
    <row r="102" spans="1:7">
      <c r="A102" s="247">
        <v>44435</v>
      </c>
      <c r="B102" s="248">
        <v>44445</v>
      </c>
      <c r="C102" s="193" t="s">
        <v>1742</v>
      </c>
      <c r="D102" s="192">
        <v>24008</v>
      </c>
      <c r="E102" s="196">
        <v>73651.360000000001</v>
      </c>
      <c r="F102" s="196"/>
      <c r="G102" s="197" t="s">
        <v>1872</v>
      </c>
    </row>
    <row r="103" spans="1:7">
      <c r="A103" s="247">
        <v>44438</v>
      </c>
      <c r="B103" s="248">
        <v>44440</v>
      </c>
      <c r="C103" s="193" t="s">
        <v>1333</v>
      </c>
      <c r="D103" s="192">
        <v>24009</v>
      </c>
      <c r="E103" s="195">
        <v>2565000</v>
      </c>
      <c r="F103" s="196"/>
      <c r="G103" s="197" t="s">
        <v>1387</v>
      </c>
    </row>
    <row r="104" spans="1:7">
      <c r="A104" s="247">
        <v>44440</v>
      </c>
      <c r="B104" s="248">
        <v>44460</v>
      </c>
      <c r="C104" s="193" t="s">
        <v>1818</v>
      </c>
      <c r="D104" s="192">
        <v>24011</v>
      </c>
      <c r="E104" s="249">
        <v>51344.02</v>
      </c>
      <c r="F104" s="249"/>
      <c r="G104" s="197" t="s">
        <v>1872</v>
      </c>
    </row>
    <row r="105" spans="1:7">
      <c r="A105" s="247">
        <v>44440</v>
      </c>
      <c r="B105" s="248">
        <v>44448</v>
      </c>
      <c r="C105" s="193" t="s">
        <v>1771</v>
      </c>
      <c r="D105" s="192">
        <v>24013</v>
      </c>
      <c r="E105" s="249">
        <v>68844.02</v>
      </c>
      <c r="F105" s="249"/>
      <c r="G105" s="197" t="s">
        <v>1872</v>
      </c>
    </row>
    <row r="106" spans="1:7">
      <c r="A106" s="247">
        <v>44440</v>
      </c>
      <c r="B106" s="248">
        <v>44447</v>
      </c>
      <c r="C106" s="193" t="s">
        <v>1754</v>
      </c>
      <c r="D106" s="192">
        <v>24015</v>
      </c>
      <c r="E106" s="249">
        <v>48844.02</v>
      </c>
      <c r="F106" s="249"/>
      <c r="G106" s="197" t="s">
        <v>1872</v>
      </c>
    </row>
    <row r="107" spans="1:7">
      <c r="A107" s="247">
        <v>44440</v>
      </c>
      <c r="B107" s="248">
        <v>44447</v>
      </c>
      <c r="C107" s="193" t="s">
        <v>1753</v>
      </c>
      <c r="D107" s="192">
        <v>24016</v>
      </c>
      <c r="E107" s="249">
        <v>34265.480000000003</v>
      </c>
      <c r="F107" s="249"/>
      <c r="G107" s="197" t="s">
        <v>1872</v>
      </c>
    </row>
    <row r="108" spans="1:7">
      <c r="A108" s="247">
        <v>44440</v>
      </c>
      <c r="B108" s="248">
        <v>44448</v>
      </c>
      <c r="C108" s="193" t="s">
        <v>1776</v>
      </c>
      <c r="D108" s="192">
        <v>24017</v>
      </c>
      <c r="E108" s="249">
        <v>108737.75</v>
      </c>
      <c r="F108" s="249"/>
      <c r="G108" s="197" t="s">
        <v>1872</v>
      </c>
    </row>
    <row r="109" spans="1:7">
      <c r="A109" s="247">
        <v>44440</v>
      </c>
      <c r="B109" s="248">
        <v>44448</v>
      </c>
      <c r="C109" s="193" t="s">
        <v>1770</v>
      </c>
      <c r="D109" s="192">
        <v>24018</v>
      </c>
      <c r="E109" s="249">
        <v>66624.37</v>
      </c>
      <c r="F109" s="249"/>
      <c r="G109" s="197" t="s">
        <v>1872</v>
      </c>
    </row>
    <row r="110" spans="1:7">
      <c r="A110" s="247">
        <v>44440</v>
      </c>
      <c r="B110" s="248">
        <v>44447</v>
      </c>
      <c r="C110" s="193" t="s">
        <v>1761</v>
      </c>
      <c r="D110" s="192">
        <v>24019</v>
      </c>
      <c r="E110" s="249">
        <v>71344.02</v>
      </c>
      <c r="F110" s="249"/>
      <c r="G110" s="197" t="s">
        <v>1872</v>
      </c>
    </row>
    <row r="111" spans="1:7">
      <c r="A111" s="247">
        <v>44440</v>
      </c>
      <c r="B111" s="248">
        <v>44447</v>
      </c>
      <c r="C111" s="193" t="s">
        <v>1751</v>
      </c>
      <c r="D111" s="192">
        <v>24020</v>
      </c>
      <c r="E111" s="249">
        <v>21344.02</v>
      </c>
      <c r="F111" s="249"/>
      <c r="G111" s="197" t="s">
        <v>1872</v>
      </c>
    </row>
    <row r="112" spans="1:7">
      <c r="A112" s="247">
        <v>44440</v>
      </c>
      <c r="B112" s="248">
        <v>44460</v>
      </c>
      <c r="C112" s="193" t="s">
        <v>1819</v>
      </c>
      <c r="D112" s="192">
        <v>24021</v>
      </c>
      <c r="E112" s="249">
        <v>52177.35</v>
      </c>
      <c r="F112" s="249"/>
      <c r="G112" s="197" t="s">
        <v>1872</v>
      </c>
    </row>
    <row r="113" spans="1:15">
      <c r="A113" s="247">
        <v>44440</v>
      </c>
      <c r="B113" s="248">
        <v>44447</v>
      </c>
      <c r="C113" s="193" t="s">
        <v>1755</v>
      </c>
      <c r="D113" s="192">
        <v>24022</v>
      </c>
      <c r="E113" s="249">
        <v>48844.02</v>
      </c>
      <c r="F113" s="249"/>
      <c r="G113" s="197" t="s">
        <v>1872</v>
      </c>
    </row>
    <row r="114" spans="1:15">
      <c r="A114" s="247">
        <v>44440</v>
      </c>
      <c r="B114" s="248">
        <v>44447</v>
      </c>
      <c r="C114" s="193" t="s">
        <v>1765</v>
      </c>
      <c r="D114" s="192">
        <v>24023</v>
      </c>
      <c r="E114" s="249">
        <v>199263.96</v>
      </c>
      <c r="F114" s="249"/>
      <c r="G114" s="197" t="s">
        <v>1872</v>
      </c>
    </row>
    <row r="115" spans="1:15">
      <c r="A115" s="247">
        <v>44440</v>
      </c>
      <c r="B115" s="248">
        <v>44442</v>
      </c>
      <c r="C115" s="193" t="s">
        <v>1739</v>
      </c>
      <c r="D115" s="192">
        <v>24026</v>
      </c>
      <c r="E115" s="249">
        <f>12200196.45-3457344.21</f>
        <v>8742852.2399999984</v>
      </c>
      <c r="F115" s="249">
        <f>+E115</f>
        <v>8742852.2399999984</v>
      </c>
      <c r="G115" s="197" t="s">
        <v>1866</v>
      </c>
    </row>
    <row r="116" spans="1:15">
      <c r="A116" s="247">
        <v>44440</v>
      </c>
      <c r="B116" s="248">
        <v>44442</v>
      </c>
      <c r="C116" s="193" t="s">
        <v>1739</v>
      </c>
      <c r="D116" s="192">
        <v>24026</v>
      </c>
      <c r="E116" s="249">
        <v>3457344.21</v>
      </c>
      <c r="F116" s="249"/>
      <c r="G116" s="197" t="s">
        <v>1875</v>
      </c>
    </row>
    <row r="117" spans="1:15">
      <c r="A117" s="247">
        <v>44440</v>
      </c>
      <c r="B117" s="248">
        <v>44449</v>
      </c>
      <c r="C117" s="193" t="s">
        <v>1780</v>
      </c>
      <c r="D117" s="192">
        <v>24027</v>
      </c>
      <c r="E117" s="249">
        <v>66024.47</v>
      </c>
      <c r="F117" s="249"/>
      <c r="G117" s="197" t="s">
        <v>1388</v>
      </c>
    </row>
    <row r="118" spans="1:15">
      <c r="A118" s="247">
        <v>44440</v>
      </c>
      <c r="B118" s="248">
        <v>44449</v>
      </c>
      <c r="C118" s="193" t="s">
        <v>1779</v>
      </c>
      <c r="D118" s="192">
        <v>24028</v>
      </c>
      <c r="E118" s="249">
        <v>22177.35</v>
      </c>
      <c r="F118" s="249"/>
      <c r="G118" s="197" t="s">
        <v>1388</v>
      </c>
    </row>
    <row r="119" spans="1:15">
      <c r="A119" s="247">
        <v>44440</v>
      </c>
      <c r="B119" s="248">
        <v>44449</v>
      </c>
      <c r="C119" s="193" t="s">
        <v>1778</v>
      </c>
      <c r="D119" s="192">
        <v>24029</v>
      </c>
      <c r="E119" s="249">
        <v>16344.02</v>
      </c>
      <c r="F119" s="249"/>
      <c r="G119" s="197" t="s">
        <v>1388</v>
      </c>
    </row>
    <row r="120" spans="1:15">
      <c r="A120" s="247">
        <v>44440</v>
      </c>
      <c r="B120" s="248">
        <v>44442</v>
      </c>
      <c r="C120" s="193" t="s">
        <v>1739</v>
      </c>
      <c r="D120" s="192">
        <v>24030</v>
      </c>
      <c r="E120" s="249">
        <v>2860747.39</v>
      </c>
      <c r="F120" s="249">
        <f>+E120</f>
        <v>2860747.39</v>
      </c>
      <c r="G120" s="197" t="s">
        <v>1867</v>
      </c>
    </row>
    <row r="121" spans="1:15">
      <c r="A121" s="247">
        <v>44440</v>
      </c>
      <c r="B121" s="248">
        <v>44442</v>
      </c>
      <c r="C121" s="193" t="s">
        <v>1257</v>
      </c>
      <c r="D121" s="192">
        <v>24031</v>
      </c>
      <c r="E121" s="249">
        <v>4600000</v>
      </c>
      <c r="F121" s="249"/>
      <c r="G121" s="197" t="s">
        <v>1388</v>
      </c>
    </row>
    <row r="122" spans="1:15">
      <c r="A122" s="247">
        <v>44440</v>
      </c>
      <c r="B122" s="248">
        <v>44449</v>
      </c>
      <c r="C122" s="193" t="s">
        <v>1783</v>
      </c>
      <c r="D122" s="192">
        <v>24032</v>
      </c>
      <c r="E122" s="249">
        <v>487030</v>
      </c>
      <c r="F122" s="249"/>
      <c r="G122" s="197" t="s">
        <v>1372</v>
      </c>
      <c r="I122" s="198">
        <v>21550</v>
      </c>
    </row>
    <row r="123" spans="1:15">
      <c r="A123" s="247">
        <v>44440</v>
      </c>
      <c r="B123" s="248">
        <v>44448</v>
      </c>
      <c r="C123" s="193" t="s">
        <v>1087</v>
      </c>
      <c r="D123" s="192">
        <v>24033</v>
      </c>
      <c r="E123" s="249">
        <v>36046</v>
      </c>
      <c r="F123" s="249"/>
      <c r="G123" s="197" t="s">
        <v>705</v>
      </c>
      <c r="I123" s="198">
        <v>1675</v>
      </c>
      <c r="O123" s="198">
        <v>1809</v>
      </c>
    </row>
    <row r="124" spans="1:15">
      <c r="A124" s="247">
        <v>44440</v>
      </c>
      <c r="B124" s="248">
        <v>44442</v>
      </c>
      <c r="C124" s="193" t="s">
        <v>1254</v>
      </c>
      <c r="D124" s="192">
        <v>24034</v>
      </c>
      <c r="E124" s="249">
        <v>2679799.19</v>
      </c>
      <c r="F124" s="249"/>
      <c r="G124" s="197" t="s">
        <v>1388</v>
      </c>
    </row>
    <row r="125" spans="1:15">
      <c r="A125" s="247">
        <v>44440</v>
      </c>
      <c r="B125" s="248">
        <v>44449</v>
      </c>
      <c r="C125" s="193" t="s">
        <v>1133</v>
      </c>
      <c r="D125" s="192">
        <v>24035</v>
      </c>
      <c r="E125" s="249">
        <v>24332</v>
      </c>
      <c r="F125" s="249">
        <f>+E125</f>
        <v>24332</v>
      </c>
      <c r="G125" s="197" t="s">
        <v>1683</v>
      </c>
      <c r="M125" s="198">
        <v>440</v>
      </c>
      <c r="O125" s="198">
        <v>1188</v>
      </c>
    </row>
    <row r="126" spans="1:15">
      <c r="A126" s="247">
        <v>44440</v>
      </c>
      <c r="B126" s="248">
        <v>44447</v>
      </c>
      <c r="C126" s="193" t="s">
        <v>1766</v>
      </c>
      <c r="D126" s="192">
        <v>24036</v>
      </c>
      <c r="E126" s="194">
        <v>8344800</v>
      </c>
      <c r="F126" s="249"/>
      <c r="G126" s="197" t="s">
        <v>1387</v>
      </c>
      <c r="I126" s="198">
        <v>439200</v>
      </c>
    </row>
    <row r="127" spans="1:15">
      <c r="A127" s="247">
        <v>44441</v>
      </c>
      <c r="B127" s="248">
        <v>44448</v>
      </c>
      <c r="C127" s="193" t="s">
        <v>1772</v>
      </c>
      <c r="D127" s="192">
        <v>24037</v>
      </c>
      <c r="E127" s="249">
        <v>84081.3</v>
      </c>
      <c r="F127" s="249"/>
      <c r="G127" s="197" t="s">
        <v>1388</v>
      </c>
    </row>
    <row r="128" spans="1:15">
      <c r="A128" s="247">
        <v>44441</v>
      </c>
      <c r="B128" s="248">
        <v>44447</v>
      </c>
      <c r="C128" s="193" t="s">
        <v>1756</v>
      </c>
      <c r="D128" s="192">
        <v>24038</v>
      </c>
      <c r="E128" s="249">
        <v>48844.02</v>
      </c>
      <c r="F128" s="249"/>
      <c r="G128" s="197" t="s">
        <v>1388</v>
      </c>
    </row>
    <row r="129" spans="1:7">
      <c r="A129" s="247">
        <v>44441</v>
      </c>
      <c r="B129" s="248">
        <v>44447</v>
      </c>
      <c r="C129" s="193" t="s">
        <v>1762</v>
      </c>
      <c r="D129" s="192">
        <v>24039</v>
      </c>
      <c r="E129" s="249">
        <v>94963.86</v>
      </c>
      <c r="F129" s="249"/>
      <c r="G129" s="197" t="s">
        <v>1388</v>
      </c>
    </row>
    <row r="130" spans="1:7">
      <c r="A130" s="247">
        <v>44441</v>
      </c>
      <c r="B130" s="248">
        <v>44448</v>
      </c>
      <c r="C130" s="193" t="s">
        <v>1768</v>
      </c>
      <c r="D130" s="192">
        <v>24041</v>
      </c>
      <c r="E130" s="249">
        <v>14556.41</v>
      </c>
      <c r="F130" s="249"/>
      <c r="G130" s="197" t="s">
        <v>1388</v>
      </c>
    </row>
    <row r="131" spans="1:7">
      <c r="A131" s="247">
        <v>44441</v>
      </c>
      <c r="B131" s="248">
        <v>44448</v>
      </c>
      <c r="C131" s="193" t="s">
        <v>1775</v>
      </c>
      <c r="D131" s="192">
        <v>24042</v>
      </c>
      <c r="E131" s="249">
        <v>89123.520000000004</v>
      </c>
      <c r="F131" s="249"/>
      <c r="G131" s="197" t="s">
        <v>1388</v>
      </c>
    </row>
    <row r="132" spans="1:7">
      <c r="A132" s="247">
        <v>44441</v>
      </c>
      <c r="B132" s="248">
        <v>44448</v>
      </c>
      <c r="C132" s="193" t="s">
        <v>1769</v>
      </c>
      <c r="D132" s="192">
        <v>24043</v>
      </c>
      <c r="E132" s="249">
        <v>52090.559999999998</v>
      </c>
      <c r="F132" s="249"/>
      <c r="G132" s="197" t="s">
        <v>1388</v>
      </c>
    </row>
    <row r="133" spans="1:7">
      <c r="A133" s="247">
        <v>44441</v>
      </c>
      <c r="B133" s="248">
        <v>44448</v>
      </c>
      <c r="C133" s="193" t="s">
        <v>1773</v>
      </c>
      <c r="D133" s="192">
        <v>24044</v>
      </c>
      <c r="E133" s="249">
        <v>85958.7</v>
      </c>
      <c r="F133" s="249"/>
      <c r="G133" s="197" t="s">
        <v>1388</v>
      </c>
    </row>
    <row r="134" spans="1:7">
      <c r="A134" s="247">
        <v>44441</v>
      </c>
      <c r="B134" s="248">
        <v>44448</v>
      </c>
      <c r="C134" s="193" t="s">
        <v>1774</v>
      </c>
      <c r="D134" s="192">
        <v>24045</v>
      </c>
      <c r="E134" s="249">
        <v>85958.7</v>
      </c>
      <c r="F134" s="249"/>
      <c r="G134" s="197" t="s">
        <v>1388</v>
      </c>
    </row>
    <row r="135" spans="1:7">
      <c r="A135" s="247">
        <v>44441</v>
      </c>
      <c r="B135" s="248">
        <v>44454</v>
      </c>
      <c r="C135" s="193" t="s">
        <v>1793</v>
      </c>
      <c r="D135" s="192">
        <v>24046</v>
      </c>
      <c r="E135" s="249">
        <v>106340.56</v>
      </c>
      <c r="F135" s="249"/>
      <c r="G135" s="197" t="s">
        <v>1388</v>
      </c>
    </row>
    <row r="136" spans="1:7">
      <c r="A136" s="247">
        <v>44441</v>
      </c>
      <c r="B136" s="248">
        <v>44454</v>
      </c>
      <c r="C136" s="193" t="s">
        <v>1791</v>
      </c>
      <c r="D136" s="192">
        <v>24047</v>
      </c>
      <c r="E136" s="249">
        <v>93637.9</v>
      </c>
      <c r="F136" s="249"/>
      <c r="G136" s="197" t="s">
        <v>1388</v>
      </c>
    </row>
    <row r="137" spans="1:7">
      <c r="A137" s="247">
        <v>44441</v>
      </c>
      <c r="B137" s="248">
        <v>44447</v>
      </c>
      <c r="C137" s="193" t="s">
        <v>1757</v>
      </c>
      <c r="D137" s="192">
        <v>24048</v>
      </c>
      <c r="E137" s="249">
        <v>48844.02</v>
      </c>
      <c r="F137" s="249"/>
      <c r="G137" s="197" t="s">
        <v>1388</v>
      </c>
    </row>
    <row r="138" spans="1:7">
      <c r="A138" s="247">
        <v>44441</v>
      </c>
      <c r="B138" s="248">
        <v>44448</v>
      </c>
      <c r="C138" s="193" t="s">
        <v>1777</v>
      </c>
      <c r="D138" s="192">
        <v>24049</v>
      </c>
      <c r="E138" s="249">
        <v>227731.75</v>
      </c>
      <c r="F138" s="249"/>
      <c r="G138" s="197" t="s">
        <v>1388</v>
      </c>
    </row>
    <row r="139" spans="1:7">
      <c r="A139" s="247">
        <v>44441</v>
      </c>
      <c r="B139" s="248">
        <v>44447</v>
      </c>
      <c r="C139" s="193" t="s">
        <v>1752</v>
      </c>
      <c r="D139" s="192">
        <v>24050</v>
      </c>
      <c r="E139" s="249">
        <v>26792.03</v>
      </c>
      <c r="F139" s="249"/>
      <c r="G139" s="197" t="s">
        <v>1388</v>
      </c>
    </row>
    <row r="140" spans="1:7">
      <c r="A140" s="247">
        <v>44441</v>
      </c>
      <c r="B140" s="248">
        <v>44454</v>
      </c>
      <c r="C140" s="193" t="s">
        <v>1787</v>
      </c>
      <c r="D140" s="192">
        <v>24051</v>
      </c>
      <c r="E140" s="249">
        <v>69117.73</v>
      </c>
      <c r="F140" s="249"/>
      <c r="G140" s="197" t="s">
        <v>1388</v>
      </c>
    </row>
    <row r="141" spans="1:7">
      <c r="A141" s="247">
        <v>44441</v>
      </c>
      <c r="B141" s="248">
        <v>44442</v>
      </c>
      <c r="C141" s="193" t="s">
        <v>1389</v>
      </c>
      <c r="D141" s="192">
        <v>24052</v>
      </c>
      <c r="E141" s="249">
        <v>4321034</v>
      </c>
      <c r="F141" s="249"/>
      <c r="G141" s="197" t="s">
        <v>1390</v>
      </c>
    </row>
    <row r="142" spans="1:7">
      <c r="A142" s="247">
        <v>44446</v>
      </c>
      <c r="B142" s="248">
        <v>44454</v>
      </c>
      <c r="C142" s="193" t="s">
        <v>1800</v>
      </c>
      <c r="D142" s="192">
        <v>24053</v>
      </c>
      <c r="E142" s="249">
        <v>193580.12</v>
      </c>
      <c r="F142" s="249"/>
      <c r="G142" s="197" t="s">
        <v>1388</v>
      </c>
    </row>
    <row r="143" spans="1:7">
      <c r="A143" s="247">
        <v>44446</v>
      </c>
      <c r="B143" s="248">
        <v>44447</v>
      </c>
      <c r="C143" s="193" t="s">
        <v>1389</v>
      </c>
      <c r="D143" s="192">
        <v>24054</v>
      </c>
      <c r="E143" s="249">
        <v>1325202</v>
      </c>
      <c r="F143" s="249"/>
      <c r="G143" s="197" t="s">
        <v>1390</v>
      </c>
    </row>
    <row r="144" spans="1:7">
      <c r="A144" s="247">
        <v>44449</v>
      </c>
      <c r="B144" s="248">
        <v>44460</v>
      </c>
      <c r="C144" s="193" t="s">
        <v>1835</v>
      </c>
      <c r="D144" s="192">
        <v>24055</v>
      </c>
      <c r="E144" s="249">
        <v>118456.85</v>
      </c>
      <c r="F144" s="249"/>
      <c r="G144" s="197" t="s">
        <v>1388</v>
      </c>
    </row>
    <row r="145" spans="1:14">
      <c r="A145" s="247">
        <v>44447</v>
      </c>
      <c r="B145" s="248">
        <v>44448</v>
      </c>
      <c r="C145" s="193" t="s">
        <v>1389</v>
      </c>
      <c r="D145" s="192">
        <v>24056</v>
      </c>
      <c r="E145" s="249">
        <v>2204015</v>
      </c>
      <c r="F145" s="249"/>
      <c r="G145" s="197" t="s">
        <v>1390</v>
      </c>
    </row>
    <row r="146" spans="1:14">
      <c r="A146" s="247">
        <v>44447</v>
      </c>
      <c r="B146" s="248">
        <v>44449</v>
      </c>
      <c r="C146" s="193" t="s">
        <v>1255</v>
      </c>
      <c r="D146" s="192">
        <v>24057</v>
      </c>
      <c r="E146" s="249">
        <v>423000</v>
      </c>
      <c r="F146" s="249"/>
      <c r="G146" s="197" t="s">
        <v>134</v>
      </c>
      <c r="J146" s="198">
        <v>47000</v>
      </c>
      <c r="N146" s="198">
        <v>84600</v>
      </c>
    </row>
    <row r="147" spans="1:14">
      <c r="A147" s="247">
        <v>44447</v>
      </c>
      <c r="B147" s="248">
        <v>44452</v>
      </c>
      <c r="C147" s="193" t="s">
        <v>1784</v>
      </c>
      <c r="D147" s="192">
        <v>24058</v>
      </c>
      <c r="E147" s="249">
        <f>792839.99-79284</f>
        <v>713555.99</v>
      </c>
      <c r="F147" s="249"/>
      <c r="G147" s="197" t="s">
        <v>134</v>
      </c>
      <c r="J147" s="198">
        <v>79284</v>
      </c>
    </row>
    <row r="148" spans="1:14">
      <c r="A148" s="247">
        <v>44447</v>
      </c>
      <c r="B148" s="248">
        <v>44452</v>
      </c>
      <c r="C148" s="193" t="s">
        <v>1784</v>
      </c>
      <c r="D148" s="192">
        <v>24058</v>
      </c>
      <c r="E148" s="249">
        <f>2023022.61-713555.99</f>
        <v>1309466.6200000001</v>
      </c>
      <c r="F148" s="249"/>
      <c r="G148" s="197" t="s">
        <v>1388</v>
      </c>
    </row>
    <row r="149" spans="1:14">
      <c r="A149" s="247">
        <v>44448</v>
      </c>
      <c r="B149" s="248">
        <v>44456</v>
      </c>
      <c r="C149" s="193" t="s">
        <v>1810</v>
      </c>
      <c r="D149" s="192">
        <v>24059</v>
      </c>
      <c r="E149" s="249">
        <v>20000</v>
      </c>
      <c r="F149" s="249">
        <f>+E149+E148</f>
        <v>1329466.6200000001</v>
      </c>
      <c r="G149" s="197" t="s">
        <v>1871</v>
      </c>
    </row>
    <row r="150" spans="1:14">
      <c r="A150" s="247">
        <v>44448</v>
      </c>
      <c r="B150" s="248">
        <v>44460</v>
      </c>
      <c r="C150" s="193" t="s">
        <v>1833</v>
      </c>
      <c r="D150" s="192">
        <v>24060</v>
      </c>
      <c r="E150" s="249">
        <v>109990.77</v>
      </c>
      <c r="F150" s="249"/>
      <c r="G150" s="197" t="s">
        <v>1388</v>
      </c>
    </row>
    <row r="151" spans="1:14">
      <c r="A151" s="247">
        <v>44448</v>
      </c>
      <c r="B151" s="248">
        <v>44460</v>
      </c>
      <c r="C151" s="193" t="s">
        <v>1814</v>
      </c>
      <c r="D151" s="192">
        <v>24061</v>
      </c>
      <c r="E151" s="249">
        <v>18940.36</v>
      </c>
      <c r="F151" s="249"/>
      <c r="G151" s="197" t="s">
        <v>1388</v>
      </c>
    </row>
    <row r="152" spans="1:14">
      <c r="A152" s="247">
        <v>44448</v>
      </c>
      <c r="B152" s="248">
        <v>44460</v>
      </c>
      <c r="C152" s="193" t="s">
        <v>1836</v>
      </c>
      <c r="D152" s="192">
        <v>24062</v>
      </c>
      <c r="E152" s="249">
        <v>133830.18</v>
      </c>
      <c r="F152" s="249"/>
      <c r="G152" s="197" t="s">
        <v>1388</v>
      </c>
    </row>
    <row r="153" spans="1:14">
      <c r="A153" s="247">
        <v>44448</v>
      </c>
      <c r="B153" s="248">
        <v>44460</v>
      </c>
      <c r="C153" s="193" t="s">
        <v>1830</v>
      </c>
      <c r="D153" s="192">
        <v>24063</v>
      </c>
      <c r="E153" s="249">
        <v>101887.9</v>
      </c>
      <c r="F153" s="249"/>
      <c r="G153" s="197" t="s">
        <v>1388</v>
      </c>
    </row>
    <row r="154" spans="1:14">
      <c r="A154" s="247">
        <v>44448</v>
      </c>
      <c r="B154" s="248">
        <v>44466</v>
      </c>
      <c r="C154" s="193" t="s">
        <v>1848</v>
      </c>
      <c r="D154" s="192">
        <v>24064</v>
      </c>
      <c r="E154" s="249">
        <v>106792.03</v>
      </c>
      <c r="F154" s="249"/>
      <c r="G154" s="197" t="s">
        <v>1388</v>
      </c>
    </row>
    <row r="155" spans="1:14">
      <c r="A155" s="247">
        <v>44448</v>
      </c>
      <c r="B155" s="248">
        <v>44460</v>
      </c>
      <c r="C155" s="193" t="s">
        <v>1831</v>
      </c>
      <c r="D155" s="192">
        <v>24065</v>
      </c>
      <c r="E155" s="249">
        <v>105575.25</v>
      </c>
      <c r="F155" s="249"/>
      <c r="G155" s="197" t="s">
        <v>1388</v>
      </c>
    </row>
    <row r="156" spans="1:14">
      <c r="A156" s="247">
        <v>44448</v>
      </c>
      <c r="B156" s="248">
        <v>44460</v>
      </c>
      <c r="C156" s="193" t="s">
        <v>1838</v>
      </c>
      <c r="D156" s="192">
        <v>24066</v>
      </c>
      <c r="E156" s="249">
        <v>145532.99</v>
      </c>
      <c r="F156" s="249"/>
      <c r="G156" s="197" t="s">
        <v>1388</v>
      </c>
    </row>
    <row r="157" spans="1:14">
      <c r="A157" s="247">
        <v>44448</v>
      </c>
      <c r="B157" s="248">
        <v>44460</v>
      </c>
      <c r="C157" s="193" t="s">
        <v>1817</v>
      </c>
      <c r="D157" s="192">
        <v>24067</v>
      </c>
      <c r="E157" s="249">
        <v>45791.88</v>
      </c>
      <c r="F157" s="249"/>
      <c r="G157" s="197" t="s">
        <v>1388</v>
      </c>
    </row>
    <row r="158" spans="1:14">
      <c r="A158" s="247">
        <v>44448</v>
      </c>
      <c r="B158" s="248">
        <v>44460</v>
      </c>
      <c r="C158" s="193" t="s">
        <v>1815</v>
      </c>
      <c r="D158" s="192">
        <v>24068</v>
      </c>
      <c r="E158" s="249">
        <v>25497.23</v>
      </c>
      <c r="F158" s="249"/>
      <c r="G158" s="197" t="s">
        <v>1388</v>
      </c>
    </row>
    <row r="159" spans="1:14">
      <c r="A159" s="247">
        <v>44448</v>
      </c>
      <c r="B159" s="248">
        <v>44460</v>
      </c>
      <c r="C159" s="193" t="s">
        <v>1828</v>
      </c>
      <c r="D159" s="192">
        <v>24069</v>
      </c>
      <c r="E159" s="249">
        <v>97219.8</v>
      </c>
      <c r="F159" s="249"/>
      <c r="G159" s="197" t="s">
        <v>1388</v>
      </c>
    </row>
    <row r="160" spans="1:14">
      <c r="A160" s="247">
        <v>44448</v>
      </c>
      <c r="B160" s="248">
        <v>44460</v>
      </c>
      <c r="C160" s="193" t="s">
        <v>1841</v>
      </c>
      <c r="D160" s="192">
        <v>24070</v>
      </c>
      <c r="E160" s="249">
        <v>160199.66</v>
      </c>
      <c r="F160" s="249"/>
      <c r="G160" s="197" t="s">
        <v>1388</v>
      </c>
    </row>
    <row r="161" spans="1:7">
      <c r="A161" s="247">
        <v>44448</v>
      </c>
      <c r="B161" s="248">
        <v>44460</v>
      </c>
      <c r="C161" s="193" t="s">
        <v>1837</v>
      </c>
      <c r="D161" s="192">
        <v>24071</v>
      </c>
      <c r="E161" s="249">
        <v>139476.14000000001</v>
      </c>
      <c r="F161" s="249"/>
      <c r="G161" s="197" t="s">
        <v>1388</v>
      </c>
    </row>
    <row r="162" spans="1:7">
      <c r="A162" s="247">
        <v>44448</v>
      </c>
      <c r="B162" s="248">
        <v>44460</v>
      </c>
      <c r="C162" s="193" t="s">
        <v>1826</v>
      </c>
      <c r="D162" s="192">
        <v>24072</v>
      </c>
      <c r="E162" s="249">
        <v>88458.7</v>
      </c>
      <c r="F162" s="249"/>
      <c r="G162" s="197" t="s">
        <v>1388</v>
      </c>
    </row>
    <row r="163" spans="1:7">
      <c r="A163" s="247">
        <v>44448</v>
      </c>
      <c r="B163" s="248">
        <v>44460</v>
      </c>
      <c r="C163" s="193" t="s">
        <v>1839</v>
      </c>
      <c r="D163" s="192">
        <v>24074</v>
      </c>
      <c r="E163" s="249">
        <v>149638.32</v>
      </c>
      <c r="F163" s="249"/>
      <c r="G163" s="197" t="s">
        <v>1388</v>
      </c>
    </row>
    <row r="164" spans="1:7">
      <c r="A164" s="247">
        <v>44448</v>
      </c>
      <c r="B164" s="248">
        <v>44460</v>
      </c>
      <c r="C164" s="193" t="s">
        <v>1829</v>
      </c>
      <c r="D164" s="192">
        <v>24075</v>
      </c>
      <c r="E164" s="249">
        <v>99148.93</v>
      </c>
      <c r="F164" s="249"/>
      <c r="G164" s="197" t="s">
        <v>1388</v>
      </c>
    </row>
    <row r="165" spans="1:7">
      <c r="A165" s="247">
        <v>44448</v>
      </c>
      <c r="B165" s="248">
        <v>44447</v>
      </c>
      <c r="C165" s="193" t="s">
        <v>1759</v>
      </c>
      <c r="D165" s="192">
        <v>24076</v>
      </c>
      <c r="E165" s="249">
        <v>52177.35</v>
      </c>
      <c r="F165" s="249"/>
      <c r="G165" s="197" t="s">
        <v>1388</v>
      </c>
    </row>
    <row r="166" spans="1:7">
      <c r="A166" s="247">
        <v>44448</v>
      </c>
      <c r="B166" s="248">
        <v>44447</v>
      </c>
      <c r="C166" s="193" t="s">
        <v>1758</v>
      </c>
      <c r="D166" s="192">
        <v>24077</v>
      </c>
      <c r="E166" s="249">
        <v>51344.02</v>
      </c>
      <c r="F166" s="249"/>
      <c r="G166" s="197" t="s">
        <v>1388</v>
      </c>
    </row>
    <row r="167" spans="1:7">
      <c r="A167" s="247">
        <v>44448</v>
      </c>
      <c r="B167" s="248">
        <v>44460</v>
      </c>
      <c r="C167" s="193" t="s">
        <v>1832</v>
      </c>
      <c r="D167" s="192">
        <v>24078</v>
      </c>
      <c r="E167" s="249">
        <v>109416.86</v>
      </c>
      <c r="F167" s="249"/>
      <c r="G167" s="197" t="s">
        <v>1388</v>
      </c>
    </row>
    <row r="168" spans="1:7">
      <c r="A168" s="247">
        <v>44448</v>
      </c>
      <c r="B168" s="248">
        <v>44460</v>
      </c>
      <c r="C168" s="193" t="s">
        <v>1825</v>
      </c>
      <c r="D168" s="192">
        <v>24079</v>
      </c>
      <c r="E168" s="249">
        <v>79144.899999999994</v>
      </c>
      <c r="F168" s="249"/>
      <c r="G168" s="197" t="s">
        <v>1388</v>
      </c>
    </row>
    <row r="169" spans="1:7">
      <c r="A169" s="247">
        <v>44448</v>
      </c>
      <c r="B169" s="248">
        <v>44460</v>
      </c>
      <c r="C169" s="193" t="s">
        <v>1827</v>
      </c>
      <c r="D169" s="192">
        <v>24080</v>
      </c>
      <c r="E169" s="249">
        <v>94469.8</v>
      </c>
      <c r="F169" s="249"/>
      <c r="G169" s="197" t="s">
        <v>1388</v>
      </c>
    </row>
    <row r="170" spans="1:7">
      <c r="A170" s="247">
        <v>44448</v>
      </c>
      <c r="B170" s="248">
        <v>44460</v>
      </c>
      <c r="C170" s="193" t="s">
        <v>1824</v>
      </c>
      <c r="D170" s="192">
        <v>24081</v>
      </c>
      <c r="E170" s="249">
        <v>76237.66</v>
      </c>
      <c r="F170" s="249"/>
      <c r="G170" s="197" t="s">
        <v>1388</v>
      </c>
    </row>
    <row r="171" spans="1:7">
      <c r="A171" s="247">
        <v>44448</v>
      </c>
      <c r="B171" s="248">
        <v>44460</v>
      </c>
      <c r="C171" s="193" t="s">
        <v>1823</v>
      </c>
      <c r="D171" s="192">
        <v>24082</v>
      </c>
      <c r="E171" s="249">
        <v>68613.89</v>
      </c>
      <c r="F171" s="249"/>
      <c r="G171" s="197" t="s">
        <v>1388</v>
      </c>
    </row>
    <row r="172" spans="1:7">
      <c r="A172" s="247">
        <v>44448</v>
      </c>
      <c r="B172" s="248">
        <v>44460</v>
      </c>
      <c r="C172" s="193" t="s">
        <v>1822</v>
      </c>
      <c r="D172" s="192">
        <v>24083</v>
      </c>
      <c r="E172" s="249">
        <v>66237.64</v>
      </c>
      <c r="F172" s="249"/>
      <c r="G172" s="197" t="s">
        <v>1388</v>
      </c>
    </row>
    <row r="173" spans="1:7">
      <c r="A173" s="247">
        <v>44448</v>
      </c>
      <c r="B173" s="248">
        <v>44460</v>
      </c>
      <c r="C173" s="193" t="s">
        <v>1834</v>
      </c>
      <c r="D173" s="192">
        <v>24084</v>
      </c>
      <c r="E173" s="249">
        <v>113064.14</v>
      </c>
      <c r="F173" s="249"/>
      <c r="G173" s="197" t="s">
        <v>1388</v>
      </c>
    </row>
    <row r="174" spans="1:7">
      <c r="A174" s="247">
        <v>44448</v>
      </c>
      <c r="B174" s="248">
        <v>44454</v>
      </c>
      <c r="C174" s="193" t="s">
        <v>1797</v>
      </c>
      <c r="D174" s="192">
        <v>24085</v>
      </c>
      <c r="E174" s="249">
        <v>126665.48</v>
      </c>
      <c r="F174" s="249"/>
      <c r="G174" s="197" t="s">
        <v>1388</v>
      </c>
    </row>
    <row r="175" spans="1:7">
      <c r="A175" s="247">
        <v>44448</v>
      </c>
      <c r="B175" s="248">
        <v>44454</v>
      </c>
      <c r="C175" s="193" t="s">
        <v>1792</v>
      </c>
      <c r="D175" s="192">
        <v>24086</v>
      </c>
      <c r="E175" s="249">
        <v>105125.37</v>
      </c>
      <c r="F175" s="249"/>
      <c r="G175" s="197" t="s">
        <v>1388</v>
      </c>
    </row>
    <row r="176" spans="1:7">
      <c r="A176" s="247">
        <v>44448</v>
      </c>
      <c r="B176" s="248">
        <v>44454</v>
      </c>
      <c r="C176" s="193" t="s">
        <v>1794</v>
      </c>
      <c r="D176" s="192">
        <v>24087</v>
      </c>
      <c r="E176" s="249">
        <v>106792.03</v>
      </c>
      <c r="F176" s="249"/>
      <c r="G176" s="197" t="s">
        <v>1388</v>
      </c>
    </row>
    <row r="177" spans="1:15">
      <c r="A177" s="247">
        <v>44448</v>
      </c>
      <c r="B177" s="248">
        <v>44454</v>
      </c>
      <c r="C177" s="193" t="s">
        <v>1795</v>
      </c>
      <c r="D177" s="192">
        <v>24088</v>
      </c>
      <c r="E177" s="249">
        <v>112127.75</v>
      </c>
      <c r="F177" s="249"/>
      <c r="G177" s="197" t="s">
        <v>1388</v>
      </c>
    </row>
    <row r="178" spans="1:15">
      <c r="A178" s="247">
        <v>44448</v>
      </c>
      <c r="B178" s="248">
        <v>44454</v>
      </c>
      <c r="C178" s="193" t="s">
        <v>1790</v>
      </c>
      <c r="D178" s="192">
        <v>24089</v>
      </c>
      <c r="E178" s="249">
        <v>93458.7</v>
      </c>
      <c r="F178" s="249"/>
      <c r="G178" s="197" t="s">
        <v>1388</v>
      </c>
    </row>
    <row r="179" spans="1:15">
      <c r="A179" s="247">
        <v>44448</v>
      </c>
      <c r="B179" s="248">
        <v>44454</v>
      </c>
      <c r="C179" s="193" t="s">
        <v>1786</v>
      </c>
      <c r="D179" s="192">
        <v>24090</v>
      </c>
      <c r="E179" s="249">
        <v>40074.949999999997</v>
      </c>
      <c r="F179" s="249"/>
      <c r="G179" s="197" t="s">
        <v>1388</v>
      </c>
    </row>
    <row r="180" spans="1:15">
      <c r="A180" s="247">
        <v>44448</v>
      </c>
      <c r="B180" s="248">
        <v>44455</v>
      </c>
      <c r="C180" s="193" t="s">
        <v>1802</v>
      </c>
      <c r="D180" s="192">
        <v>24091</v>
      </c>
      <c r="E180" s="249">
        <v>111123.52</v>
      </c>
      <c r="F180" s="249"/>
      <c r="G180" s="197" t="s">
        <v>1388</v>
      </c>
    </row>
    <row r="181" spans="1:15">
      <c r="A181" s="247">
        <v>44448</v>
      </c>
      <c r="B181" s="248">
        <v>44455</v>
      </c>
      <c r="C181" s="193" t="s">
        <v>1806</v>
      </c>
      <c r="D181" s="192">
        <v>24092</v>
      </c>
      <c r="E181" s="249">
        <v>151520.94</v>
      </c>
      <c r="F181" s="249"/>
      <c r="G181" s="197" t="s">
        <v>1388</v>
      </c>
    </row>
    <row r="182" spans="1:15">
      <c r="A182" s="247">
        <v>44448</v>
      </c>
      <c r="B182" s="248">
        <v>44455</v>
      </c>
      <c r="C182" s="193" t="s">
        <v>1803</v>
      </c>
      <c r="D182" s="192">
        <v>24093</v>
      </c>
      <c r="E182" s="249">
        <v>144179.70000000001</v>
      </c>
      <c r="F182" s="249"/>
      <c r="G182" s="197" t="s">
        <v>1388</v>
      </c>
    </row>
    <row r="183" spans="1:15">
      <c r="A183" s="247">
        <v>44448</v>
      </c>
      <c r="B183" s="248">
        <v>44454</v>
      </c>
      <c r="C183" s="193" t="s">
        <v>1798</v>
      </c>
      <c r="D183" s="192">
        <v>24094</v>
      </c>
      <c r="E183" s="249">
        <v>143214.57999999999</v>
      </c>
      <c r="F183" s="249"/>
      <c r="G183" s="197" t="s">
        <v>1388</v>
      </c>
    </row>
    <row r="184" spans="1:15">
      <c r="A184" s="247">
        <v>44448</v>
      </c>
      <c r="B184" s="248">
        <v>44454</v>
      </c>
      <c r="C184" s="193" t="s">
        <v>1788</v>
      </c>
      <c r="D184" s="192">
        <v>24095</v>
      </c>
      <c r="E184" s="249">
        <v>69652.75</v>
      </c>
      <c r="F184" s="249"/>
      <c r="G184" s="197" t="s">
        <v>1388</v>
      </c>
    </row>
    <row r="185" spans="1:15">
      <c r="A185" s="247">
        <v>44448</v>
      </c>
      <c r="B185" s="248">
        <v>44455</v>
      </c>
      <c r="C185" s="193" t="s">
        <v>1801</v>
      </c>
      <c r="D185" s="192">
        <v>24097</v>
      </c>
      <c r="E185" s="249">
        <v>99397.59</v>
      </c>
      <c r="F185" s="249"/>
      <c r="G185" s="197" t="s">
        <v>1388</v>
      </c>
    </row>
    <row r="186" spans="1:15">
      <c r="A186" s="247">
        <v>44448</v>
      </c>
      <c r="B186" s="248">
        <v>44455</v>
      </c>
      <c r="C186" s="193" t="s">
        <v>1805</v>
      </c>
      <c r="D186" s="192">
        <v>24098</v>
      </c>
      <c r="E186" s="249">
        <v>150573.37</v>
      </c>
      <c r="F186" s="249"/>
      <c r="G186" s="197" t="s">
        <v>1388</v>
      </c>
    </row>
    <row r="187" spans="1:15">
      <c r="A187" s="247">
        <v>44448</v>
      </c>
      <c r="B187" s="248">
        <v>44455</v>
      </c>
      <c r="C187" s="193" t="s">
        <v>1804</v>
      </c>
      <c r="D187" s="192">
        <v>24099</v>
      </c>
      <c r="E187" s="249">
        <v>147184.76999999999</v>
      </c>
      <c r="F187" s="249"/>
      <c r="G187" s="197" t="s">
        <v>1388</v>
      </c>
    </row>
    <row r="188" spans="1:15">
      <c r="A188" s="247">
        <v>44448</v>
      </c>
      <c r="B188" s="248">
        <v>44454</v>
      </c>
      <c r="C188" s="193" t="s">
        <v>1799</v>
      </c>
      <c r="D188" s="192">
        <v>24100</v>
      </c>
      <c r="E188" s="249">
        <v>158331.85</v>
      </c>
      <c r="F188" s="249"/>
      <c r="G188" s="197" t="s">
        <v>1388</v>
      </c>
    </row>
    <row r="189" spans="1:15">
      <c r="A189" s="247">
        <v>44448</v>
      </c>
      <c r="B189" s="248">
        <v>44456</v>
      </c>
      <c r="C189" s="193" t="s">
        <v>1812</v>
      </c>
      <c r="D189" s="192">
        <v>24101</v>
      </c>
      <c r="E189" s="249">
        <v>241282.24</v>
      </c>
      <c r="F189" s="249">
        <f>+E189</f>
        <v>241282.24</v>
      </c>
      <c r="G189" s="197" t="s">
        <v>570</v>
      </c>
      <c r="I189" s="198">
        <v>11212</v>
      </c>
      <c r="O189" s="198">
        <v>12108.96</v>
      </c>
    </row>
    <row r="190" spans="1:15">
      <c r="A190" s="247">
        <v>44448</v>
      </c>
      <c r="B190" s="248">
        <v>44456</v>
      </c>
      <c r="C190" s="193" t="s">
        <v>1811</v>
      </c>
      <c r="D190" s="192">
        <v>24102</v>
      </c>
      <c r="E190" s="249">
        <v>133611.20000000001</v>
      </c>
      <c r="F190" s="249"/>
      <c r="G190" s="197" t="s">
        <v>1372</v>
      </c>
      <c r="I190" s="198">
        <v>5912</v>
      </c>
    </row>
    <row r="191" spans="1:15">
      <c r="A191" s="247">
        <v>44448</v>
      </c>
      <c r="B191" s="248">
        <v>44460</v>
      </c>
      <c r="C191" s="193" t="s">
        <v>1112</v>
      </c>
      <c r="D191" s="192">
        <v>24103</v>
      </c>
      <c r="E191" s="249">
        <v>104834.14</v>
      </c>
      <c r="F191" s="249"/>
      <c r="G191" s="197" t="s">
        <v>168</v>
      </c>
      <c r="I191" s="198">
        <v>487.48</v>
      </c>
      <c r="O191" s="198">
        <v>5261.19</v>
      </c>
    </row>
    <row r="192" spans="1:15">
      <c r="A192" s="247">
        <v>44448</v>
      </c>
      <c r="B192" s="248">
        <v>44455</v>
      </c>
      <c r="C192" s="193" t="s">
        <v>1807</v>
      </c>
      <c r="D192" s="192">
        <v>24104</v>
      </c>
      <c r="E192" s="249">
        <v>421960.7</v>
      </c>
      <c r="F192" s="249"/>
      <c r="G192" s="197" t="s">
        <v>1870</v>
      </c>
      <c r="I192" s="198">
        <v>18670.830000000002</v>
      </c>
    </row>
    <row r="193" spans="1:15">
      <c r="A193" s="247">
        <v>44448</v>
      </c>
      <c r="B193" s="248">
        <v>44456</v>
      </c>
      <c r="C193" s="193" t="s">
        <v>1155</v>
      </c>
      <c r="D193" s="192">
        <v>24105</v>
      </c>
      <c r="E193" s="249">
        <v>93825.69</v>
      </c>
      <c r="F193" s="249"/>
      <c r="G193" s="197" t="s">
        <v>705</v>
      </c>
      <c r="I193" s="198">
        <v>4359.93</v>
      </c>
      <c r="O193" s="198">
        <v>4708.7299999999996</v>
      </c>
    </row>
    <row r="194" spans="1:15">
      <c r="A194" s="247">
        <v>44448</v>
      </c>
      <c r="B194" s="248">
        <v>44454</v>
      </c>
      <c r="C194" s="193" t="s">
        <v>1796</v>
      </c>
      <c r="D194" s="192">
        <v>24106</v>
      </c>
      <c r="E194" s="249">
        <v>118386.9</v>
      </c>
      <c r="F194" s="249"/>
      <c r="G194" s="197" t="s">
        <v>1870</v>
      </c>
      <c r="I194" s="198">
        <v>5501.25</v>
      </c>
      <c r="O194" s="198">
        <v>5941.35</v>
      </c>
    </row>
    <row r="195" spans="1:15">
      <c r="A195" s="247">
        <v>44448</v>
      </c>
      <c r="B195" s="248">
        <v>44454</v>
      </c>
      <c r="C195" s="193" t="s">
        <v>1333</v>
      </c>
      <c r="D195" s="192">
        <v>24107</v>
      </c>
      <c r="E195" s="194">
        <v>2565000</v>
      </c>
      <c r="F195" s="249"/>
      <c r="G195" s="197" t="s">
        <v>1387</v>
      </c>
    </row>
    <row r="196" spans="1:15">
      <c r="A196" s="247">
        <v>44448</v>
      </c>
      <c r="B196" s="248">
        <v>44466</v>
      </c>
      <c r="C196" s="193" t="s">
        <v>1850</v>
      </c>
      <c r="D196" s="192">
        <v>24108</v>
      </c>
      <c r="E196" s="249">
        <v>938396.07</v>
      </c>
      <c r="F196" s="249"/>
      <c r="G196" s="197" t="s">
        <v>1870</v>
      </c>
      <c r="I196" s="198">
        <v>41521.949999999997</v>
      </c>
    </row>
    <row r="197" spans="1:15">
      <c r="A197" s="247">
        <v>44448</v>
      </c>
      <c r="B197" s="248">
        <v>44455</v>
      </c>
      <c r="C197" s="193" t="s">
        <v>1155</v>
      </c>
      <c r="D197" s="192">
        <v>24109</v>
      </c>
      <c r="E197" s="194">
        <v>847500</v>
      </c>
      <c r="F197" s="249"/>
      <c r="G197" s="197" t="s">
        <v>1387</v>
      </c>
      <c r="I197" s="198">
        <v>37500</v>
      </c>
    </row>
    <row r="198" spans="1:15">
      <c r="A198" s="247">
        <v>44448</v>
      </c>
      <c r="B198" s="248">
        <v>44454</v>
      </c>
      <c r="C198" s="193" t="s">
        <v>1232</v>
      </c>
      <c r="D198" s="192">
        <v>24110</v>
      </c>
      <c r="E198" s="194">
        <v>3325100</v>
      </c>
      <c r="F198" s="249"/>
      <c r="G198" s="197" t="s">
        <v>1387</v>
      </c>
    </row>
    <row r="199" spans="1:15">
      <c r="A199" s="247">
        <v>44448</v>
      </c>
      <c r="B199" s="248">
        <v>44460</v>
      </c>
      <c r="C199" s="193" t="s">
        <v>1820</v>
      </c>
      <c r="D199" s="192">
        <v>24111</v>
      </c>
      <c r="E199" s="249">
        <v>58590.05</v>
      </c>
      <c r="F199" s="249"/>
      <c r="G199" s="197" t="s">
        <v>962</v>
      </c>
      <c r="I199" s="198">
        <v>2592.48</v>
      </c>
    </row>
    <row r="200" spans="1:15">
      <c r="A200" s="247">
        <v>44448</v>
      </c>
      <c r="B200" s="248">
        <v>44454</v>
      </c>
      <c r="C200" s="193" t="s">
        <v>1789</v>
      </c>
      <c r="D200" s="192">
        <v>24112</v>
      </c>
      <c r="E200" s="249">
        <v>90896</v>
      </c>
      <c r="F200" s="249"/>
      <c r="G200" s="197" t="s">
        <v>1387</v>
      </c>
      <c r="I200" s="198">
        <f>2760+2024</f>
        <v>4784</v>
      </c>
    </row>
    <row r="201" spans="1:15">
      <c r="A201" s="247">
        <v>44448</v>
      </c>
      <c r="B201" s="248">
        <v>44455</v>
      </c>
      <c r="C201" s="193" t="s">
        <v>1808</v>
      </c>
      <c r="D201" s="192">
        <v>24113</v>
      </c>
      <c r="E201" s="249">
        <v>788060.42</v>
      </c>
      <c r="F201" s="249"/>
      <c r="G201" s="197" t="s">
        <v>1372</v>
      </c>
      <c r="I201" s="198">
        <v>34869.93</v>
      </c>
    </row>
    <row r="202" spans="1:15">
      <c r="A202" s="247">
        <v>44448</v>
      </c>
      <c r="B202" s="248">
        <v>44454</v>
      </c>
      <c r="C202" s="193" t="s">
        <v>1224</v>
      </c>
      <c r="D202" s="192">
        <v>24114</v>
      </c>
      <c r="E202" s="249">
        <v>8937</v>
      </c>
      <c r="F202" s="249"/>
      <c r="G202" s="197" t="s">
        <v>162</v>
      </c>
      <c r="H202" s="198">
        <v>8937</v>
      </c>
    </row>
    <row r="203" spans="1:15">
      <c r="A203" s="247">
        <v>44448</v>
      </c>
      <c r="B203" s="248">
        <v>44454</v>
      </c>
      <c r="C203" s="193" t="s">
        <v>1224</v>
      </c>
      <c r="D203" s="192">
        <v>24114</v>
      </c>
      <c r="E203" s="249">
        <v>27812.39</v>
      </c>
      <c r="F203" s="249"/>
      <c r="G203" s="197" t="s">
        <v>1383</v>
      </c>
      <c r="H203" s="198">
        <f>21502.47+6309.92</f>
        <v>27812.39</v>
      </c>
    </row>
    <row r="204" spans="1:15">
      <c r="A204" s="247">
        <v>44448</v>
      </c>
      <c r="B204" s="248">
        <v>44454</v>
      </c>
      <c r="C204" s="193" t="s">
        <v>1224</v>
      </c>
      <c r="D204" s="192">
        <v>24114</v>
      </c>
      <c r="E204" s="249">
        <v>48070.720000000001</v>
      </c>
      <c r="F204" s="249"/>
      <c r="G204" s="197" t="s">
        <v>1870</v>
      </c>
      <c r="H204" s="198">
        <f>33080.12+3250.1+11740.5</f>
        <v>48070.720000000001</v>
      </c>
    </row>
    <row r="205" spans="1:15">
      <c r="A205" s="247">
        <v>44448</v>
      </c>
      <c r="B205" s="248">
        <v>44454</v>
      </c>
      <c r="C205" s="193" t="s">
        <v>1224</v>
      </c>
      <c r="D205" s="192">
        <v>24114</v>
      </c>
      <c r="E205" s="249">
        <v>1062</v>
      </c>
      <c r="F205" s="249"/>
      <c r="G205" s="197" t="s">
        <v>962</v>
      </c>
      <c r="H205" s="198">
        <v>1062</v>
      </c>
    </row>
    <row r="206" spans="1:15">
      <c r="A206" s="247">
        <v>44448</v>
      </c>
      <c r="B206" s="248">
        <v>44454</v>
      </c>
      <c r="C206" s="193" t="s">
        <v>1224</v>
      </c>
      <c r="D206" s="192">
        <v>24114</v>
      </c>
      <c r="E206" s="249">
        <v>350</v>
      </c>
      <c r="F206" s="249">
        <f>+E206</f>
        <v>350</v>
      </c>
      <c r="G206" s="197" t="s">
        <v>24</v>
      </c>
      <c r="H206" s="198">
        <v>350</v>
      </c>
    </row>
    <row r="207" spans="1:15">
      <c r="A207" s="247">
        <v>44448</v>
      </c>
      <c r="B207" s="248">
        <v>44460</v>
      </c>
      <c r="C207" s="193" t="s">
        <v>1840</v>
      </c>
      <c r="D207" s="192">
        <v>24115</v>
      </c>
      <c r="E207" s="249">
        <v>157380.71</v>
      </c>
      <c r="F207" s="249"/>
      <c r="G207" s="197" t="s">
        <v>1388</v>
      </c>
    </row>
    <row r="208" spans="1:15">
      <c r="A208" s="247">
        <v>44448</v>
      </c>
      <c r="B208" s="248">
        <v>44460</v>
      </c>
      <c r="C208" s="193" t="s">
        <v>1816</v>
      </c>
      <c r="D208" s="192">
        <v>24116</v>
      </c>
      <c r="E208" s="249">
        <v>38073.370000000003</v>
      </c>
      <c r="F208" s="249"/>
      <c r="G208" s="197" t="s">
        <v>1388</v>
      </c>
    </row>
    <row r="209" spans="1:15">
      <c r="A209" s="247">
        <v>44449</v>
      </c>
      <c r="B209" s="248">
        <v>44452</v>
      </c>
      <c r="C209" s="193" t="s">
        <v>1785</v>
      </c>
      <c r="D209" s="192">
        <v>24117</v>
      </c>
      <c r="E209" s="198">
        <f>792727.48-79272.75</f>
        <v>713454.73</v>
      </c>
      <c r="F209" s="198"/>
      <c r="G209" s="197" t="s">
        <v>134</v>
      </c>
      <c r="H209" s="198">
        <f>792727.48-79272.75</f>
        <v>713454.73</v>
      </c>
      <c r="J209" s="198">
        <v>79272.75</v>
      </c>
    </row>
    <row r="210" spans="1:15">
      <c r="A210" s="247">
        <v>44449</v>
      </c>
      <c r="B210" s="248">
        <v>44452</v>
      </c>
      <c r="C210" s="193" t="s">
        <v>1785</v>
      </c>
      <c r="D210" s="192">
        <v>24117</v>
      </c>
      <c r="E210" s="198">
        <v>6207272.5199999996</v>
      </c>
      <c r="F210" s="198"/>
      <c r="G210" s="197" t="s">
        <v>1388</v>
      </c>
      <c r="H210" s="198">
        <v>6207272.5199999996</v>
      </c>
    </row>
    <row r="211" spans="1:15">
      <c r="A211" s="247">
        <v>44452</v>
      </c>
      <c r="B211" s="248">
        <v>44454</v>
      </c>
      <c r="C211" s="193" t="s">
        <v>1389</v>
      </c>
      <c r="D211" s="192">
        <v>24118</v>
      </c>
      <c r="E211" s="251">
        <v>1974450</v>
      </c>
      <c r="F211" s="251"/>
      <c r="G211" s="197" t="s">
        <v>1390</v>
      </c>
    </row>
    <row r="212" spans="1:15">
      <c r="A212" s="247">
        <v>44452</v>
      </c>
      <c r="B212" s="248">
        <v>44455</v>
      </c>
      <c r="C212" s="193" t="s">
        <v>1348</v>
      </c>
      <c r="D212" s="192">
        <v>24119</v>
      </c>
      <c r="E212" s="249">
        <v>1995000</v>
      </c>
      <c r="F212" s="249"/>
      <c r="G212" s="197" t="s">
        <v>1387</v>
      </c>
    </row>
    <row r="213" spans="1:15">
      <c r="A213" s="247">
        <v>44452</v>
      </c>
      <c r="B213" s="248">
        <v>44455</v>
      </c>
      <c r="C213" s="193" t="s">
        <v>1184</v>
      </c>
      <c r="D213" s="192">
        <v>24120</v>
      </c>
      <c r="E213" s="194">
        <v>983886.83</v>
      </c>
      <c r="F213" s="249"/>
      <c r="G213" s="197" t="s">
        <v>1868</v>
      </c>
      <c r="I213" s="198">
        <v>50833</v>
      </c>
      <c r="O213" s="198">
        <v>7739.93</v>
      </c>
    </row>
    <row r="214" spans="1:15">
      <c r="A214" s="247">
        <v>44452</v>
      </c>
      <c r="B214" s="248">
        <v>44456</v>
      </c>
      <c r="C214" s="193" t="s">
        <v>1103</v>
      </c>
      <c r="D214" s="192">
        <v>24121</v>
      </c>
      <c r="E214" s="194">
        <v>1368000</v>
      </c>
      <c r="F214" s="249">
        <f>SUM(E211:E214)</f>
        <v>6321336.8300000001</v>
      </c>
      <c r="G214" s="197" t="s">
        <v>1868</v>
      </c>
      <c r="I214" s="198">
        <v>72000</v>
      </c>
    </row>
    <row r="215" spans="1:15">
      <c r="A215" s="247">
        <v>44452</v>
      </c>
      <c r="B215" s="248">
        <v>44456</v>
      </c>
      <c r="C215" s="193" t="s">
        <v>1813</v>
      </c>
      <c r="D215" s="192">
        <v>24123</v>
      </c>
      <c r="E215" s="249">
        <v>372900</v>
      </c>
      <c r="F215" s="249"/>
      <c r="G215" s="197" t="s">
        <v>1372</v>
      </c>
      <c r="H215" s="198">
        <v>16500</v>
      </c>
    </row>
    <row r="216" spans="1:15">
      <c r="A216" s="247">
        <v>44452</v>
      </c>
      <c r="B216" s="248">
        <v>44454</v>
      </c>
      <c r="C216" s="193" t="s">
        <v>1389</v>
      </c>
      <c r="D216" s="192">
        <v>24124</v>
      </c>
      <c r="E216" s="249">
        <v>1526431</v>
      </c>
      <c r="F216" s="249"/>
      <c r="G216" s="197" t="s">
        <v>1390</v>
      </c>
    </row>
    <row r="217" spans="1:15">
      <c r="A217" s="247">
        <v>44453</v>
      </c>
      <c r="B217" s="248">
        <v>44455</v>
      </c>
      <c r="C217" s="193" t="s">
        <v>1809</v>
      </c>
      <c r="D217" s="192">
        <v>24125</v>
      </c>
      <c r="E217" s="249">
        <v>6500000</v>
      </c>
      <c r="F217" s="249"/>
      <c r="G217" s="197" t="s">
        <v>1372</v>
      </c>
    </row>
    <row r="218" spans="1:15">
      <c r="A218" s="247">
        <v>44453</v>
      </c>
      <c r="B218" s="248">
        <v>44459</v>
      </c>
      <c r="C218" s="193" t="s">
        <v>1389</v>
      </c>
      <c r="D218" s="192">
        <v>24126</v>
      </c>
      <c r="E218" s="249">
        <v>10000000</v>
      </c>
      <c r="F218" s="249"/>
      <c r="G218" s="197" t="s">
        <v>1390</v>
      </c>
    </row>
    <row r="219" spans="1:15">
      <c r="A219" s="247">
        <v>44453</v>
      </c>
      <c r="B219" s="248">
        <v>44459</v>
      </c>
      <c r="C219" s="193" t="s">
        <v>1389</v>
      </c>
      <c r="D219" s="192">
        <v>24127</v>
      </c>
      <c r="E219" s="249">
        <v>10000000</v>
      </c>
      <c r="F219" s="249"/>
      <c r="G219" s="197" t="s">
        <v>1390</v>
      </c>
    </row>
    <row r="220" spans="1:15">
      <c r="A220" s="247">
        <v>44453</v>
      </c>
      <c r="B220" s="248">
        <v>44459</v>
      </c>
      <c r="C220" s="193" t="s">
        <v>1389</v>
      </c>
      <c r="D220" s="192">
        <v>24128</v>
      </c>
      <c r="E220" s="249">
        <v>10000000</v>
      </c>
      <c r="F220" s="249"/>
      <c r="G220" s="197" t="s">
        <v>1390</v>
      </c>
    </row>
    <row r="221" spans="1:15">
      <c r="A221" s="247">
        <v>44453</v>
      </c>
      <c r="B221" s="248">
        <v>44459</v>
      </c>
      <c r="C221" s="193" t="s">
        <v>1389</v>
      </c>
      <c r="D221" s="192">
        <v>24129</v>
      </c>
      <c r="E221" s="249">
        <v>10000000</v>
      </c>
      <c r="F221" s="249"/>
      <c r="G221" s="197" t="s">
        <v>1390</v>
      </c>
    </row>
    <row r="222" spans="1:15">
      <c r="A222" s="247">
        <v>44453</v>
      </c>
      <c r="B222" s="248">
        <v>44459</v>
      </c>
      <c r="C222" s="193" t="s">
        <v>1389</v>
      </c>
      <c r="D222" s="192">
        <v>24130</v>
      </c>
      <c r="E222" s="249">
        <v>10000000</v>
      </c>
      <c r="F222" s="249"/>
      <c r="G222" s="197" t="s">
        <v>1390</v>
      </c>
    </row>
    <row r="223" spans="1:15">
      <c r="A223" s="247">
        <v>44454</v>
      </c>
      <c r="B223" s="248">
        <v>44456</v>
      </c>
      <c r="C223" s="193" t="s">
        <v>1158</v>
      </c>
      <c r="D223" s="192">
        <v>24131</v>
      </c>
      <c r="E223" s="110">
        <v>103081.18</v>
      </c>
      <c r="F223" s="110"/>
      <c r="G223" s="191" t="s">
        <v>1372</v>
      </c>
      <c r="H223" s="110">
        <v>103081.18</v>
      </c>
    </row>
    <row r="224" spans="1:15">
      <c r="A224" s="247">
        <v>44454</v>
      </c>
      <c r="B224" s="248">
        <v>44456</v>
      </c>
      <c r="C224" s="193" t="s">
        <v>1158</v>
      </c>
      <c r="D224" s="192">
        <v>24131</v>
      </c>
      <c r="E224" s="110">
        <v>36569.583135593217</v>
      </c>
      <c r="F224" s="110"/>
      <c r="G224" s="191" t="s">
        <v>1376</v>
      </c>
      <c r="H224" s="110">
        <v>36569.583135593217</v>
      </c>
    </row>
    <row r="225" spans="1:8">
      <c r="A225" s="247">
        <v>44454</v>
      </c>
      <c r="B225" s="248">
        <v>44456</v>
      </c>
      <c r="C225" s="193" t="s">
        <v>1158</v>
      </c>
      <c r="D225" s="192">
        <v>24131</v>
      </c>
      <c r="E225" s="110">
        <v>17894.510000000002</v>
      </c>
      <c r="F225" s="110"/>
      <c r="G225" s="191" t="s">
        <v>1377</v>
      </c>
      <c r="H225" s="110">
        <v>17894.510000000002</v>
      </c>
    </row>
    <row r="226" spans="1:8">
      <c r="A226" s="247">
        <v>44454</v>
      </c>
      <c r="B226" s="248">
        <v>44456</v>
      </c>
      <c r="C226" s="193" t="s">
        <v>1158</v>
      </c>
      <c r="D226" s="192">
        <v>24131</v>
      </c>
      <c r="E226" s="110">
        <v>157894.74</v>
      </c>
      <c r="F226" s="110"/>
      <c r="G226" s="197" t="s">
        <v>1379</v>
      </c>
      <c r="H226" s="110">
        <v>157894.74</v>
      </c>
    </row>
    <row r="227" spans="1:8">
      <c r="A227" s="247">
        <v>44454</v>
      </c>
      <c r="B227" s="248">
        <v>44456</v>
      </c>
      <c r="C227" s="193" t="s">
        <v>1158</v>
      </c>
      <c r="D227" s="192">
        <v>24131</v>
      </c>
      <c r="E227" s="110">
        <v>31942.780000000002</v>
      </c>
      <c r="F227" s="110"/>
      <c r="G227" s="191" t="s">
        <v>1380</v>
      </c>
      <c r="H227" s="110">
        <v>31942.780000000002</v>
      </c>
    </row>
    <row r="228" spans="1:8">
      <c r="A228" s="247">
        <v>44454</v>
      </c>
      <c r="B228" s="248">
        <v>44456</v>
      </c>
      <c r="C228" s="193" t="s">
        <v>1158</v>
      </c>
      <c r="D228" s="192">
        <v>24131</v>
      </c>
      <c r="E228" s="110">
        <v>35000</v>
      </c>
      <c r="F228" s="110">
        <f>+E228</f>
        <v>35000</v>
      </c>
      <c r="G228" s="191" t="s">
        <v>1382</v>
      </c>
      <c r="H228" s="110">
        <v>35000</v>
      </c>
    </row>
    <row r="229" spans="1:8">
      <c r="A229" s="247">
        <v>44454</v>
      </c>
      <c r="B229" s="248">
        <v>44456</v>
      </c>
      <c r="C229" s="193" t="s">
        <v>1158</v>
      </c>
      <c r="D229" s="192">
        <v>24131</v>
      </c>
      <c r="E229" s="129">
        <v>39369.300000000003</v>
      </c>
      <c r="F229" s="110"/>
      <c r="G229" s="191" t="s">
        <v>705</v>
      </c>
      <c r="H229" s="110">
        <v>39369.300000000003</v>
      </c>
    </row>
    <row r="230" spans="1:8">
      <c r="A230" s="247">
        <v>44454</v>
      </c>
      <c r="B230" s="248">
        <v>44456</v>
      </c>
      <c r="C230" s="193" t="s">
        <v>1158</v>
      </c>
      <c r="D230" s="192">
        <v>24131</v>
      </c>
      <c r="E230" s="110">
        <v>649013.26</v>
      </c>
      <c r="F230" s="110"/>
      <c r="G230" s="191" t="s">
        <v>923</v>
      </c>
      <c r="H230" s="110">
        <v>649013.26</v>
      </c>
    </row>
    <row r="231" spans="1:8">
      <c r="A231" s="247">
        <v>44454</v>
      </c>
      <c r="B231" s="248">
        <v>44456</v>
      </c>
      <c r="C231" s="193" t="s">
        <v>1158</v>
      </c>
      <c r="D231" s="192">
        <v>24131</v>
      </c>
      <c r="E231" s="110">
        <v>2100</v>
      </c>
      <c r="F231" s="110"/>
      <c r="G231" s="191" t="s">
        <v>1383</v>
      </c>
      <c r="H231" s="110">
        <v>2100</v>
      </c>
    </row>
    <row r="232" spans="1:8">
      <c r="A232" s="247">
        <v>44454</v>
      </c>
      <c r="B232" s="248">
        <v>44456</v>
      </c>
      <c r="C232" s="193" t="s">
        <v>1158</v>
      </c>
      <c r="D232" s="192">
        <v>24131</v>
      </c>
      <c r="E232" s="110">
        <v>860490.04</v>
      </c>
      <c r="F232" s="110"/>
      <c r="G232" s="191" t="s">
        <v>134</v>
      </c>
      <c r="H232" s="110">
        <v>860490.04</v>
      </c>
    </row>
    <row r="233" spans="1:8">
      <c r="A233" s="247">
        <v>44454</v>
      </c>
      <c r="B233" s="248">
        <v>44456</v>
      </c>
      <c r="C233" s="193" t="s">
        <v>1158</v>
      </c>
      <c r="D233" s="192">
        <v>24131</v>
      </c>
      <c r="E233" s="110">
        <v>37127.78</v>
      </c>
      <c r="F233" s="110"/>
      <c r="G233" s="191" t="s">
        <v>1384</v>
      </c>
      <c r="H233" s="110">
        <v>37127.78</v>
      </c>
    </row>
    <row r="234" spans="1:8">
      <c r="A234" s="247">
        <v>44454</v>
      </c>
      <c r="B234" s="248">
        <v>44456</v>
      </c>
      <c r="C234" s="193" t="s">
        <v>1158</v>
      </c>
      <c r="D234" s="192">
        <v>24131</v>
      </c>
      <c r="E234" s="110">
        <v>25350</v>
      </c>
      <c r="F234" s="110">
        <f>+E234</f>
        <v>25350</v>
      </c>
      <c r="G234" s="191" t="s">
        <v>1385</v>
      </c>
      <c r="H234" s="110">
        <v>25350</v>
      </c>
    </row>
    <row r="235" spans="1:8">
      <c r="A235" s="247">
        <v>44454</v>
      </c>
      <c r="B235" s="248">
        <v>44456</v>
      </c>
      <c r="C235" s="193" t="s">
        <v>1158</v>
      </c>
      <c r="D235" s="192">
        <v>24131</v>
      </c>
      <c r="E235" s="110">
        <v>160343.82</v>
      </c>
      <c r="F235" s="110">
        <f>+E235</f>
        <v>160343.82</v>
      </c>
      <c r="G235" s="191" t="s">
        <v>120</v>
      </c>
      <c r="H235" s="110">
        <v>160343.82</v>
      </c>
    </row>
    <row r="236" spans="1:8">
      <c r="A236" s="247">
        <v>44454</v>
      </c>
      <c r="B236" s="248">
        <v>44456</v>
      </c>
      <c r="C236" s="193" t="s">
        <v>1158</v>
      </c>
      <c r="D236" s="192">
        <v>24131</v>
      </c>
      <c r="E236" s="110">
        <v>9716.2900000000009</v>
      </c>
      <c r="F236" s="110">
        <f>+E236</f>
        <v>9716.2900000000009</v>
      </c>
      <c r="G236" s="191" t="s">
        <v>1386</v>
      </c>
      <c r="H236" s="110">
        <v>9716.2900000000009</v>
      </c>
    </row>
    <row r="237" spans="1:8">
      <c r="A237" s="247">
        <v>44454</v>
      </c>
      <c r="B237" s="248">
        <v>44456</v>
      </c>
      <c r="C237" s="193" t="s">
        <v>1158</v>
      </c>
      <c r="D237" s="192">
        <v>24131</v>
      </c>
      <c r="E237" s="110">
        <f>17624.8+17614.78</f>
        <v>35239.58</v>
      </c>
      <c r="F237" s="110"/>
      <c r="G237" s="191" t="s">
        <v>962</v>
      </c>
      <c r="H237" s="110">
        <f>17624.8+17614.78</f>
        <v>35239.58</v>
      </c>
    </row>
    <row r="238" spans="1:8">
      <c r="A238" s="247">
        <v>44454</v>
      </c>
      <c r="B238" s="248">
        <v>44456</v>
      </c>
      <c r="C238" s="193" t="s">
        <v>1158</v>
      </c>
      <c r="D238" s="192">
        <v>24131</v>
      </c>
      <c r="E238" s="110">
        <v>376495</v>
      </c>
      <c r="F238" s="110"/>
      <c r="G238" s="191" t="s">
        <v>1387</v>
      </c>
      <c r="H238" s="110">
        <v>376495</v>
      </c>
    </row>
    <row r="239" spans="1:8">
      <c r="A239" s="247">
        <v>44454</v>
      </c>
      <c r="B239" s="248">
        <v>44456</v>
      </c>
      <c r="C239" s="193" t="s">
        <v>1158</v>
      </c>
      <c r="D239" s="192">
        <v>24131</v>
      </c>
      <c r="E239" s="110">
        <v>78586.3</v>
      </c>
      <c r="F239" s="110"/>
      <c r="G239" s="191" t="s">
        <v>102</v>
      </c>
      <c r="H239" s="110">
        <v>78586.3</v>
      </c>
    </row>
    <row r="240" spans="1:8">
      <c r="A240" s="247">
        <v>44454</v>
      </c>
      <c r="B240" s="248">
        <v>44456</v>
      </c>
      <c r="C240" s="193" t="s">
        <v>1158</v>
      </c>
      <c r="D240" s="192">
        <v>24131</v>
      </c>
      <c r="E240" s="110">
        <v>64471.95</v>
      </c>
      <c r="F240" s="110"/>
      <c r="G240" s="191" t="s">
        <v>1392</v>
      </c>
      <c r="H240" s="110">
        <v>64471.95</v>
      </c>
    </row>
    <row r="241" spans="1:8">
      <c r="A241" s="247">
        <v>44454</v>
      </c>
      <c r="B241" s="248">
        <v>44456</v>
      </c>
      <c r="C241" s="193" t="s">
        <v>1158</v>
      </c>
      <c r="D241" s="192">
        <v>24131</v>
      </c>
      <c r="E241" s="110">
        <v>29000</v>
      </c>
      <c r="F241" s="110"/>
      <c r="G241" s="191" t="s">
        <v>1393</v>
      </c>
      <c r="H241" s="110">
        <v>29000</v>
      </c>
    </row>
    <row r="242" spans="1:8">
      <c r="A242" s="247">
        <v>44454</v>
      </c>
      <c r="B242" s="248">
        <v>44456</v>
      </c>
      <c r="C242" s="193" t="s">
        <v>1158</v>
      </c>
      <c r="D242" s="192">
        <v>24131</v>
      </c>
      <c r="E242" s="110">
        <v>38271.54</v>
      </c>
      <c r="F242" s="110">
        <f>+E242+E241</f>
        <v>67271.540000000008</v>
      </c>
      <c r="G242" s="188" t="s">
        <v>165</v>
      </c>
      <c r="H242" s="110">
        <v>38271.54</v>
      </c>
    </row>
    <row r="243" spans="1:8">
      <c r="A243" s="247">
        <v>44454</v>
      </c>
      <c r="B243" s="248">
        <v>44456</v>
      </c>
      <c r="C243" s="193" t="s">
        <v>1158</v>
      </c>
      <c r="D243" s="192">
        <v>24131</v>
      </c>
      <c r="E243" s="110">
        <v>10577.5</v>
      </c>
      <c r="F243" s="110"/>
      <c r="G243" s="188" t="s">
        <v>1394</v>
      </c>
      <c r="H243" s="110">
        <v>10577.5</v>
      </c>
    </row>
    <row r="244" spans="1:8">
      <c r="A244" s="247">
        <v>44454</v>
      </c>
      <c r="B244" s="248">
        <v>44456</v>
      </c>
      <c r="C244" s="193" t="s">
        <v>1158</v>
      </c>
      <c r="D244" s="192">
        <v>24132</v>
      </c>
      <c r="E244" s="110">
        <v>35883.21</v>
      </c>
      <c r="F244" s="110">
        <f>SUM(E241:E244)</f>
        <v>113732.25</v>
      </c>
      <c r="G244" s="191" t="s">
        <v>1375</v>
      </c>
      <c r="H244" s="110">
        <v>35883.21</v>
      </c>
    </row>
    <row r="245" spans="1:8">
      <c r="A245" s="247">
        <v>44454</v>
      </c>
      <c r="B245" s="248">
        <v>44456</v>
      </c>
      <c r="C245" s="193" t="s">
        <v>1158</v>
      </c>
      <c r="D245" s="192">
        <v>24132</v>
      </c>
      <c r="E245" s="189">
        <v>3611.97</v>
      </c>
      <c r="F245" s="189">
        <f>+E245+E244</f>
        <v>39495.18</v>
      </c>
      <c r="G245" s="191" t="s">
        <v>1376</v>
      </c>
      <c r="H245" s="189">
        <v>3611.97</v>
      </c>
    </row>
    <row r="246" spans="1:8">
      <c r="A246" s="247">
        <v>44454</v>
      </c>
      <c r="B246" s="248">
        <v>44456</v>
      </c>
      <c r="C246" s="193" t="s">
        <v>1158</v>
      </c>
      <c r="D246" s="192">
        <v>24132</v>
      </c>
      <c r="E246" s="189">
        <v>505263.16</v>
      </c>
      <c r="F246" s="189">
        <f>SUM(E243:E246)</f>
        <v>555335.84</v>
      </c>
      <c r="G246" s="197" t="s">
        <v>1379</v>
      </c>
      <c r="H246" s="189">
        <v>505263.16</v>
      </c>
    </row>
    <row r="247" spans="1:8">
      <c r="A247" s="247">
        <v>44454</v>
      </c>
      <c r="B247" s="248">
        <v>44456</v>
      </c>
      <c r="C247" s="193" t="s">
        <v>1158</v>
      </c>
      <c r="D247" s="192">
        <v>24132</v>
      </c>
      <c r="E247" s="129">
        <v>37608.89</v>
      </c>
      <c r="F247" s="110"/>
      <c r="G247" s="191" t="s">
        <v>705</v>
      </c>
      <c r="H247" s="110">
        <v>37608.89</v>
      </c>
    </row>
    <row r="248" spans="1:8">
      <c r="A248" s="247">
        <v>44454</v>
      </c>
      <c r="B248" s="248">
        <v>44456</v>
      </c>
      <c r="C248" s="193" t="s">
        <v>1158</v>
      </c>
      <c r="D248" s="192">
        <v>24132</v>
      </c>
      <c r="E248" s="110">
        <v>7739.93</v>
      </c>
      <c r="F248" s="110"/>
      <c r="G248" s="191" t="s">
        <v>923</v>
      </c>
      <c r="H248" s="110">
        <v>7739.93</v>
      </c>
    </row>
    <row r="249" spans="1:8">
      <c r="A249" s="247">
        <v>44454</v>
      </c>
      <c r="B249" s="248">
        <v>44456</v>
      </c>
      <c r="C249" s="193" t="s">
        <v>1158</v>
      </c>
      <c r="D249" s="192">
        <v>24132</v>
      </c>
      <c r="E249" s="189">
        <v>95850</v>
      </c>
      <c r="F249" s="189"/>
      <c r="G249" s="191" t="s">
        <v>134</v>
      </c>
      <c r="H249" s="189">
        <v>95850</v>
      </c>
    </row>
    <row r="250" spans="1:8">
      <c r="A250" s="247">
        <v>44454</v>
      </c>
      <c r="B250" s="248">
        <v>44456</v>
      </c>
      <c r="C250" s="193" t="s">
        <v>1158</v>
      </c>
      <c r="D250" s="192">
        <v>24132</v>
      </c>
      <c r="E250" s="189">
        <v>21127.5</v>
      </c>
      <c r="F250" s="189"/>
      <c r="G250" s="191" t="s">
        <v>1384</v>
      </c>
      <c r="H250" s="189">
        <v>21127.5</v>
      </c>
    </row>
    <row r="251" spans="1:8">
      <c r="A251" s="247">
        <v>44454</v>
      </c>
      <c r="B251" s="248">
        <v>44456</v>
      </c>
      <c r="C251" s="193" t="s">
        <v>1158</v>
      </c>
      <c r="D251" s="192">
        <v>24132</v>
      </c>
      <c r="E251" s="110">
        <v>122500</v>
      </c>
      <c r="F251" s="110"/>
      <c r="G251" s="191" t="s">
        <v>102</v>
      </c>
      <c r="H251" s="110">
        <v>122500</v>
      </c>
    </row>
    <row r="252" spans="1:8">
      <c r="A252" s="247">
        <v>44454</v>
      </c>
      <c r="B252" s="248">
        <v>44456</v>
      </c>
      <c r="C252" s="193" t="s">
        <v>1158</v>
      </c>
      <c r="D252" s="192">
        <v>24132</v>
      </c>
      <c r="E252" s="110">
        <v>31320</v>
      </c>
      <c r="F252" s="110">
        <f>+E252+E251</f>
        <v>153820</v>
      </c>
      <c r="G252" s="191" t="s">
        <v>1393</v>
      </c>
      <c r="H252" s="110">
        <v>31320</v>
      </c>
    </row>
    <row r="253" spans="1:8">
      <c r="A253" s="247">
        <v>44454</v>
      </c>
      <c r="B253" s="248">
        <v>44456</v>
      </c>
      <c r="C253" s="193" t="s">
        <v>1158</v>
      </c>
      <c r="D253" s="192">
        <v>24132</v>
      </c>
      <c r="E253" s="110">
        <v>13943.7</v>
      </c>
      <c r="F253" s="110">
        <f>+E253+E252</f>
        <v>45263.7</v>
      </c>
      <c r="G253" s="188" t="s">
        <v>1394</v>
      </c>
      <c r="H253" s="110">
        <v>13943.7</v>
      </c>
    </row>
    <row r="254" spans="1:8">
      <c r="A254" s="247">
        <v>44454</v>
      </c>
      <c r="B254" s="248">
        <v>44454</v>
      </c>
      <c r="C254" s="193" t="s">
        <v>1389</v>
      </c>
      <c r="D254" s="192">
        <v>24133</v>
      </c>
      <c r="E254" s="249">
        <v>1900000</v>
      </c>
      <c r="F254" s="249"/>
      <c r="G254" s="197" t="s">
        <v>1390</v>
      </c>
    </row>
    <row r="255" spans="1:8">
      <c r="A255" s="247">
        <v>44454</v>
      </c>
      <c r="B255" s="248">
        <v>44455</v>
      </c>
      <c r="C255" s="193" t="s">
        <v>1389</v>
      </c>
      <c r="D255" s="192">
        <v>24134</v>
      </c>
      <c r="E255" s="249">
        <v>10000000</v>
      </c>
      <c r="F255" s="249"/>
      <c r="G255" s="197" t="s">
        <v>1390</v>
      </c>
    </row>
    <row r="256" spans="1:8">
      <c r="A256" s="247">
        <v>44454</v>
      </c>
      <c r="B256" s="248">
        <v>44455</v>
      </c>
      <c r="C256" s="193" t="s">
        <v>1389</v>
      </c>
      <c r="D256" s="192">
        <v>24135</v>
      </c>
      <c r="E256" s="249">
        <v>10000000</v>
      </c>
      <c r="F256" s="249"/>
      <c r="G256" s="197" t="s">
        <v>1390</v>
      </c>
    </row>
    <row r="257" spans="1:9">
      <c r="A257" s="247">
        <v>44454</v>
      </c>
      <c r="B257" s="248">
        <v>44455</v>
      </c>
      <c r="C257" s="193" t="s">
        <v>1389</v>
      </c>
      <c r="D257" s="192">
        <v>24136</v>
      </c>
      <c r="E257" s="249">
        <v>10000000</v>
      </c>
      <c r="F257" s="249"/>
      <c r="G257" s="197" t="s">
        <v>1390</v>
      </c>
    </row>
    <row r="258" spans="1:9">
      <c r="A258" s="247">
        <v>44454</v>
      </c>
      <c r="B258" s="248">
        <v>44459</v>
      </c>
      <c r="C258" s="193" t="s">
        <v>1389</v>
      </c>
      <c r="D258" s="192">
        <v>24137</v>
      </c>
      <c r="E258" s="249">
        <v>5000000</v>
      </c>
      <c r="F258" s="249"/>
      <c r="G258" s="197" t="s">
        <v>1390</v>
      </c>
    </row>
    <row r="259" spans="1:9">
      <c r="A259" s="247">
        <v>44455</v>
      </c>
      <c r="B259" s="248">
        <v>44460</v>
      </c>
      <c r="C259" s="193" t="s">
        <v>1158</v>
      </c>
      <c r="D259" s="192">
        <v>24138</v>
      </c>
      <c r="E259" s="249">
        <v>2676709</v>
      </c>
      <c r="F259" s="110">
        <f>+E259+E258</f>
        <v>7676709</v>
      </c>
      <c r="G259" s="197" t="s">
        <v>1395</v>
      </c>
    </row>
    <row r="260" spans="1:9">
      <c r="A260" s="247">
        <v>44455</v>
      </c>
      <c r="B260" s="248">
        <v>44456</v>
      </c>
      <c r="C260" s="193" t="s">
        <v>1389</v>
      </c>
      <c r="D260" s="192">
        <v>24139</v>
      </c>
      <c r="E260" s="249">
        <v>1757420</v>
      </c>
      <c r="F260" s="249"/>
      <c r="G260" s="197" t="s">
        <v>1390</v>
      </c>
    </row>
    <row r="261" spans="1:9">
      <c r="A261" s="247">
        <v>44455</v>
      </c>
      <c r="B261" s="248">
        <v>44460</v>
      </c>
      <c r="C261" s="193" t="s">
        <v>1821</v>
      </c>
      <c r="D261" s="192">
        <v>24140</v>
      </c>
      <c r="E261" s="249">
        <v>59626.71</v>
      </c>
      <c r="F261" s="249"/>
      <c r="G261" s="197" t="s">
        <v>102</v>
      </c>
      <c r="I261" s="198">
        <v>2638.35</v>
      </c>
    </row>
    <row r="262" spans="1:9">
      <c r="A262" s="247">
        <v>44455</v>
      </c>
      <c r="B262" s="248">
        <v>44460</v>
      </c>
      <c r="C262" s="193" t="s">
        <v>1725</v>
      </c>
      <c r="D262" s="192">
        <v>24141</v>
      </c>
      <c r="E262" s="249">
        <v>57630</v>
      </c>
      <c r="F262" s="249"/>
      <c r="G262" s="197" t="s">
        <v>102</v>
      </c>
    </row>
    <row r="263" spans="1:9">
      <c r="A263" s="247">
        <v>44456</v>
      </c>
      <c r="B263" s="248">
        <v>44459</v>
      </c>
      <c r="C263" s="193" t="s">
        <v>1389</v>
      </c>
      <c r="D263" s="192">
        <v>24142</v>
      </c>
      <c r="E263" s="249">
        <v>5000000</v>
      </c>
      <c r="F263" s="249"/>
      <c r="G263" s="197" t="s">
        <v>1390</v>
      </c>
    </row>
    <row r="264" spans="1:9">
      <c r="A264" s="247">
        <v>44456</v>
      </c>
      <c r="B264" s="248">
        <v>44459</v>
      </c>
      <c r="C264" s="193" t="s">
        <v>1389</v>
      </c>
      <c r="D264" s="192">
        <v>24143</v>
      </c>
      <c r="E264" s="249">
        <v>5000000</v>
      </c>
      <c r="F264" s="249"/>
      <c r="G264" s="197" t="s">
        <v>1390</v>
      </c>
    </row>
    <row r="265" spans="1:9">
      <c r="A265" s="247">
        <v>44456</v>
      </c>
      <c r="B265" s="248">
        <v>44459</v>
      </c>
      <c r="C265" s="193" t="s">
        <v>1389</v>
      </c>
      <c r="D265" s="192">
        <v>24144</v>
      </c>
      <c r="E265" s="249">
        <v>5000000</v>
      </c>
      <c r="F265" s="249"/>
      <c r="G265" s="197" t="s">
        <v>1390</v>
      </c>
    </row>
    <row r="266" spans="1:9">
      <c r="A266" s="247">
        <v>44456</v>
      </c>
      <c r="B266" s="248">
        <v>44455</v>
      </c>
      <c r="C266" s="193" t="s">
        <v>1389</v>
      </c>
      <c r="D266" s="192">
        <v>24145</v>
      </c>
      <c r="E266" s="249">
        <v>5000000</v>
      </c>
      <c r="F266" s="249"/>
      <c r="G266" s="197" t="s">
        <v>1390</v>
      </c>
    </row>
    <row r="267" spans="1:9">
      <c r="A267" s="247">
        <v>44456</v>
      </c>
      <c r="B267" s="248">
        <v>44459</v>
      </c>
      <c r="C267" s="193" t="s">
        <v>1389</v>
      </c>
      <c r="D267" s="192">
        <v>24146</v>
      </c>
      <c r="E267" s="251">
        <v>600000</v>
      </c>
      <c r="F267" s="251"/>
      <c r="G267" s="197" t="s">
        <v>1390</v>
      </c>
    </row>
    <row r="268" spans="1:9">
      <c r="A268" s="247">
        <v>44459</v>
      </c>
      <c r="B268" s="248">
        <v>44461</v>
      </c>
      <c r="C268" s="193" t="s">
        <v>1313</v>
      </c>
      <c r="D268" s="192">
        <v>24147</v>
      </c>
      <c r="E268" s="249">
        <v>331989</v>
      </c>
      <c r="F268" s="249"/>
      <c r="G268" s="197" t="s">
        <v>1392</v>
      </c>
    </row>
    <row r="269" spans="1:9">
      <c r="A269" s="247">
        <v>44459</v>
      </c>
      <c r="B269" s="248">
        <v>44461</v>
      </c>
      <c r="C269" s="193" t="s">
        <v>1122</v>
      </c>
      <c r="D269" s="192">
        <v>24150</v>
      </c>
      <c r="E269" s="249">
        <v>585098.82999999996</v>
      </c>
      <c r="F269" s="249"/>
      <c r="G269" s="197" t="s">
        <v>1392</v>
      </c>
    </row>
    <row r="270" spans="1:9">
      <c r="A270" s="247">
        <v>44459</v>
      </c>
      <c r="B270" s="248">
        <v>44461</v>
      </c>
      <c r="C270" s="193" t="s">
        <v>1334</v>
      </c>
      <c r="D270" s="192">
        <v>24152</v>
      </c>
      <c r="E270" s="249">
        <v>26146.1</v>
      </c>
      <c r="F270" s="249"/>
      <c r="G270" s="197" t="s">
        <v>1380</v>
      </c>
      <c r="I270" s="198">
        <v>1376.11</v>
      </c>
    </row>
    <row r="271" spans="1:9">
      <c r="A271" s="247">
        <v>44459</v>
      </c>
      <c r="B271" s="248">
        <v>44468</v>
      </c>
      <c r="C271" s="193" t="s">
        <v>147</v>
      </c>
      <c r="D271" s="192">
        <v>24153</v>
      </c>
      <c r="E271" s="249">
        <v>56500</v>
      </c>
      <c r="F271" s="249"/>
      <c r="G271" s="197" t="s">
        <v>102</v>
      </c>
      <c r="I271" s="198">
        <v>2550</v>
      </c>
    </row>
    <row r="272" spans="1:9">
      <c r="A272" s="247">
        <v>44459</v>
      </c>
      <c r="B272" s="248">
        <v>44461</v>
      </c>
      <c r="C272" s="193" t="s">
        <v>1389</v>
      </c>
      <c r="D272" s="192">
        <v>24154</v>
      </c>
      <c r="E272" s="249">
        <v>1463112</v>
      </c>
      <c r="F272" s="249"/>
      <c r="G272" s="197" t="s">
        <v>1390</v>
      </c>
    </row>
    <row r="273" spans="1:15">
      <c r="A273" s="247">
        <v>44459</v>
      </c>
      <c r="B273" s="248">
        <v>44461</v>
      </c>
      <c r="C273" s="193" t="s">
        <v>1842</v>
      </c>
      <c r="D273" s="192">
        <v>24155</v>
      </c>
      <c r="E273" s="249">
        <v>1234628.02</v>
      </c>
      <c r="F273" s="249">
        <f>+E273</f>
        <v>1234628.02</v>
      </c>
      <c r="G273" s="197" t="s">
        <v>1391</v>
      </c>
    </row>
    <row r="274" spans="1:15">
      <c r="A274" s="247">
        <v>44459</v>
      </c>
      <c r="B274" s="248">
        <v>44461</v>
      </c>
      <c r="C274" s="193" t="s">
        <v>1842</v>
      </c>
      <c r="D274" s="192">
        <v>24156</v>
      </c>
      <c r="E274" s="249">
        <v>212784</v>
      </c>
      <c r="F274" s="249">
        <f>SUM(E271:E274)</f>
        <v>2967024.02</v>
      </c>
      <c r="G274" s="197" t="s">
        <v>1392</v>
      </c>
    </row>
    <row r="275" spans="1:15">
      <c r="A275" s="247">
        <v>44459</v>
      </c>
      <c r="B275" s="248">
        <v>44462</v>
      </c>
      <c r="C275" s="193" t="s">
        <v>1124</v>
      </c>
      <c r="D275" s="192">
        <v>24159</v>
      </c>
      <c r="E275" s="249">
        <v>6420</v>
      </c>
      <c r="F275" s="249"/>
      <c r="G275" s="197" t="s">
        <v>1373</v>
      </c>
    </row>
    <row r="276" spans="1:15">
      <c r="A276" s="247">
        <v>44459</v>
      </c>
      <c r="B276" s="248">
        <v>44462</v>
      </c>
      <c r="C276" s="193" t="s">
        <v>1124</v>
      </c>
      <c r="D276" s="192">
        <v>24160</v>
      </c>
      <c r="E276" s="249">
        <v>8113.39</v>
      </c>
      <c r="F276" s="249"/>
      <c r="G276" s="197" t="s">
        <v>1373</v>
      </c>
    </row>
    <row r="277" spans="1:15">
      <c r="A277" s="247">
        <v>44459</v>
      </c>
      <c r="B277" s="248">
        <v>44462</v>
      </c>
      <c r="C277" s="193" t="s">
        <v>1327</v>
      </c>
      <c r="D277" s="192">
        <v>24161</v>
      </c>
      <c r="E277" s="249">
        <v>103968.5</v>
      </c>
      <c r="F277" s="249"/>
      <c r="G277" s="197" t="s">
        <v>705</v>
      </c>
      <c r="I277" s="198">
        <v>4831.25</v>
      </c>
      <c r="O277" s="198">
        <v>5217.75</v>
      </c>
    </row>
    <row r="278" spans="1:15">
      <c r="A278" s="247">
        <v>44459</v>
      </c>
      <c r="B278" s="248">
        <v>44462</v>
      </c>
      <c r="C278" s="193" t="s">
        <v>1087</v>
      </c>
      <c r="D278" s="192">
        <v>24162</v>
      </c>
      <c r="E278" s="249">
        <v>87075.3</v>
      </c>
      <c r="F278" s="249"/>
      <c r="G278" s="197" t="s">
        <v>705</v>
      </c>
      <c r="I278" s="198">
        <v>4046.25</v>
      </c>
      <c r="O278" s="198">
        <v>4369.95</v>
      </c>
    </row>
    <row r="279" spans="1:15">
      <c r="A279" s="247">
        <v>44459</v>
      </c>
      <c r="B279" s="248">
        <v>44462</v>
      </c>
      <c r="C279" s="193" t="s">
        <v>1846</v>
      </c>
      <c r="D279" s="192">
        <v>24163</v>
      </c>
      <c r="E279" s="249">
        <v>245348.68</v>
      </c>
      <c r="F279" s="249">
        <f>SUM(E276:E279)</f>
        <v>444505.87</v>
      </c>
      <c r="G279" s="197" t="s">
        <v>962</v>
      </c>
      <c r="I279" s="198">
        <v>11337.2</v>
      </c>
    </row>
    <row r="280" spans="1:15">
      <c r="A280" s="247">
        <v>44459</v>
      </c>
      <c r="B280" s="248">
        <v>44462</v>
      </c>
      <c r="C280" s="193" t="s">
        <v>1845</v>
      </c>
      <c r="D280" s="192">
        <v>24164</v>
      </c>
      <c r="E280" s="249">
        <v>74580</v>
      </c>
      <c r="F280" s="249">
        <f>SUM(E274:E280)</f>
        <v>738289.87</v>
      </c>
      <c r="G280" s="197" t="s">
        <v>1372</v>
      </c>
      <c r="I280" s="198">
        <v>3300</v>
      </c>
    </row>
    <row r="281" spans="1:15">
      <c r="A281" s="247">
        <v>44459</v>
      </c>
      <c r="B281" s="248">
        <v>44462</v>
      </c>
      <c r="C281" s="193" t="s">
        <v>1847</v>
      </c>
      <c r="D281" s="192">
        <v>24165</v>
      </c>
      <c r="E281" s="249">
        <v>582402</v>
      </c>
      <c r="F281" s="249"/>
      <c r="G281" s="197" t="s">
        <v>519</v>
      </c>
      <c r="I281" s="198">
        <v>25770</v>
      </c>
    </row>
    <row r="282" spans="1:15">
      <c r="A282" s="247">
        <v>44459</v>
      </c>
      <c r="B282" s="248">
        <v>44461</v>
      </c>
      <c r="C282" s="193" t="s">
        <v>1843</v>
      </c>
      <c r="D282" s="192">
        <v>24166</v>
      </c>
      <c r="E282" s="249">
        <v>748740</v>
      </c>
      <c r="F282" s="249"/>
      <c r="G282" s="197" t="s">
        <v>1387</v>
      </c>
    </row>
    <row r="283" spans="1:15">
      <c r="A283" s="247">
        <v>44459</v>
      </c>
      <c r="B283" s="248">
        <v>44462</v>
      </c>
      <c r="C283" s="193" t="s">
        <v>1165</v>
      </c>
      <c r="D283" s="192">
        <v>24167</v>
      </c>
      <c r="E283" s="249">
        <v>33900</v>
      </c>
      <c r="F283" s="249"/>
      <c r="G283" s="197" t="s">
        <v>102</v>
      </c>
      <c r="I283" s="198">
        <v>1500</v>
      </c>
    </row>
    <row r="284" spans="1:15">
      <c r="A284" s="247">
        <v>44459</v>
      </c>
      <c r="B284" s="248">
        <v>44468</v>
      </c>
      <c r="C284" s="193" t="s">
        <v>1108</v>
      </c>
      <c r="D284" s="192">
        <v>24168</v>
      </c>
      <c r="E284" s="249">
        <v>35562.71</v>
      </c>
      <c r="F284" s="249"/>
      <c r="G284" s="197" t="s">
        <v>168</v>
      </c>
      <c r="I284" s="198">
        <v>1652.54</v>
      </c>
      <c r="O284" s="198">
        <v>1784.75</v>
      </c>
    </row>
    <row r="285" spans="1:15">
      <c r="A285" s="247">
        <v>44459</v>
      </c>
      <c r="B285" s="248">
        <v>44462</v>
      </c>
      <c r="C285" s="193" t="s">
        <v>1820</v>
      </c>
      <c r="D285" s="192">
        <v>24169</v>
      </c>
      <c r="E285" s="249">
        <v>125050.32</v>
      </c>
      <c r="F285" s="249">
        <f>+E285+E284</f>
        <v>160613.03</v>
      </c>
      <c r="G285" s="197" t="s">
        <v>519</v>
      </c>
      <c r="I285" s="198">
        <v>5533.2</v>
      </c>
    </row>
    <row r="286" spans="1:15">
      <c r="A286" s="247">
        <v>44459</v>
      </c>
      <c r="B286" s="248">
        <v>44462</v>
      </c>
      <c r="C286" s="193" t="s">
        <v>1332</v>
      </c>
      <c r="D286" s="192">
        <v>24170</v>
      </c>
      <c r="E286" s="249">
        <v>511504.74</v>
      </c>
      <c r="F286" s="249"/>
      <c r="G286" s="197" t="s">
        <v>597</v>
      </c>
      <c r="I286" s="198">
        <v>20726.97</v>
      </c>
    </row>
    <row r="287" spans="1:15">
      <c r="A287" s="247">
        <v>44459</v>
      </c>
      <c r="B287" s="248">
        <v>44466</v>
      </c>
      <c r="C287" s="193" t="s">
        <v>1153</v>
      </c>
      <c r="D287" s="192">
        <v>24174</v>
      </c>
      <c r="E287" s="249">
        <v>135600</v>
      </c>
      <c r="F287" s="249"/>
      <c r="G287" s="197" t="s">
        <v>102</v>
      </c>
      <c r="I287" s="198">
        <v>6000</v>
      </c>
    </row>
    <row r="288" spans="1:15">
      <c r="A288" s="247">
        <v>44459</v>
      </c>
      <c r="B288" s="248">
        <v>44468</v>
      </c>
      <c r="C288" s="193" t="s">
        <v>1148</v>
      </c>
      <c r="D288" s="192">
        <v>24175</v>
      </c>
      <c r="E288" s="249">
        <v>27000</v>
      </c>
      <c r="F288" s="249"/>
      <c r="G288" s="197" t="s">
        <v>102</v>
      </c>
      <c r="L288" s="198">
        <v>3000</v>
      </c>
      <c r="N288" s="198">
        <v>5400</v>
      </c>
    </row>
    <row r="289" spans="1:14">
      <c r="A289" s="247">
        <v>44459</v>
      </c>
      <c r="B289" s="248">
        <v>44468</v>
      </c>
      <c r="C289" s="193" t="s">
        <v>1147</v>
      </c>
      <c r="D289" s="192">
        <v>24176</v>
      </c>
      <c r="E289" s="249">
        <v>27000</v>
      </c>
      <c r="F289" s="249"/>
      <c r="G289" s="197" t="s">
        <v>102</v>
      </c>
      <c r="L289" s="198">
        <v>3000</v>
      </c>
      <c r="N289" s="198">
        <v>5400</v>
      </c>
    </row>
    <row r="290" spans="1:14">
      <c r="A290" s="247">
        <v>44459</v>
      </c>
      <c r="B290" s="248">
        <v>44462</v>
      </c>
      <c r="C290" s="193" t="s">
        <v>1171</v>
      </c>
      <c r="D290" s="192">
        <v>24177</v>
      </c>
      <c r="E290" s="249">
        <v>33900</v>
      </c>
      <c r="F290" s="249"/>
      <c r="G290" s="197" t="s">
        <v>102</v>
      </c>
      <c r="I290" s="198">
        <v>1500</v>
      </c>
    </row>
    <row r="291" spans="1:14">
      <c r="A291" s="247">
        <v>44460</v>
      </c>
      <c r="B291" s="248">
        <v>44468</v>
      </c>
      <c r="C291" s="193" t="s">
        <v>1853</v>
      </c>
      <c r="D291" s="192">
        <v>24178</v>
      </c>
      <c r="E291" s="249">
        <v>22500</v>
      </c>
      <c r="F291" s="249"/>
      <c r="G291" s="197" t="s">
        <v>102</v>
      </c>
      <c r="L291" s="198">
        <v>2500</v>
      </c>
      <c r="N291" s="198">
        <v>4500</v>
      </c>
    </row>
    <row r="292" spans="1:14">
      <c r="A292" s="247">
        <v>44460</v>
      </c>
      <c r="B292" s="248">
        <v>44468</v>
      </c>
      <c r="C292" s="193" t="s">
        <v>1851</v>
      </c>
      <c r="D292" s="192">
        <v>24179</v>
      </c>
      <c r="E292" s="249">
        <v>18000</v>
      </c>
      <c r="F292" s="249"/>
      <c r="G292" s="197" t="s">
        <v>102</v>
      </c>
      <c r="L292" s="198">
        <v>2000</v>
      </c>
      <c r="N292" s="198">
        <v>3600</v>
      </c>
    </row>
    <row r="293" spans="1:14">
      <c r="A293" s="247">
        <v>44460</v>
      </c>
      <c r="B293" s="248">
        <v>44468</v>
      </c>
      <c r="C293" s="193" t="s">
        <v>1854</v>
      </c>
      <c r="D293" s="192">
        <v>24180</v>
      </c>
      <c r="E293" s="249">
        <v>22600</v>
      </c>
      <c r="F293" s="249"/>
      <c r="G293" s="197" t="s">
        <v>102</v>
      </c>
      <c r="I293" s="198">
        <v>1000</v>
      </c>
    </row>
    <row r="294" spans="1:14">
      <c r="A294" s="247">
        <v>44460</v>
      </c>
      <c r="B294" s="248">
        <v>44468</v>
      </c>
      <c r="C294" s="193" t="s">
        <v>1859</v>
      </c>
      <c r="D294" s="192">
        <v>24181</v>
      </c>
      <c r="E294" s="249">
        <v>130582.8</v>
      </c>
      <c r="F294" s="249"/>
      <c r="G294" s="197" t="s">
        <v>102</v>
      </c>
      <c r="I294" s="198">
        <v>5778</v>
      </c>
    </row>
    <row r="295" spans="1:14">
      <c r="A295" s="247">
        <v>44460</v>
      </c>
      <c r="B295" s="248">
        <v>44462</v>
      </c>
      <c r="C295" s="193" t="s">
        <v>1107</v>
      </c>
      <c r="D295" s="192">
        <v>24182</v>
      </c>
      <c r="E295" s="249">
        <v>56500</v>
      </c>
      <c r="F295" s="249"/>
      <c r="G295" s="197" t="s">
        <v>102</v>
      </c>
      <c r="I295" s="198">
        <v>2500</v>
      </c>
    </row>
    <row r="296" spans="1:14">
      <c r="A296" s="247">
        <v>44460</v>
      </c>
      <c r="B296" s="248">
        <v>44468</v>
      </c>
      <c r="C296" s="193" t="s">
        <v>1455</v>
      </c>
      <c r="D296" s="192">
        <v>24184</v>
      </c>
      <c r="E296" s="249">
        <v>18000</v>
      </c>
      <c r="F296" s="249"/>
      <c r="G296" s="197" t="s">
        <v>102</v>
      </c>
      <c r="L296" s="198">
        <v>2000</v>
      </c>
      <c r="N296" s="198">
        <v>3600</v>
      </c>
    </row>
    <row r="297" spans="1:14">
      <c r="A297" s="247">
        <v>44460</v>
      </c>
      <c r="B297" s="248">
        <v>44462</v>
      </c>
      <c r="C297" s="193" t="s">
        <v>1724</v>
      </c>
      <c r="D297" s="192">
        <v>24185</v>
      </c>
      <c r="E297" s="249">
        <v>101700</v>
      </c>
      <c r="F297" s="249"/>
      <c r="G297" s="197" t="s">
        <v>102</v>
      </c>
      <c r="I297" s="198">
        <v>4500</v>
      </c>
    </row>
    <row r="298" spans="1:14">
      <c r="A298" s="247">
        <v>44460</v>
      </c>
      <c r="B298" s="248">
        <v>44462</v>
      </c>
      <c r="C298" s="193" t="s">
        <v>1149</v>
      </c>
      <c r="D298" s="192">
        <v>24187</v>
      </c>
      <c r="E298" s="249">
        <v>27000</v>
      </c>
      <c r="F298" s="249"/>
      <c r="G298" s="197" t="s">
        <v>102</v>
      </c>
      <c r="L298" s="198">
        <v>3000</v>
      </c>
      <c r="N298" s="198">
        <v>5400</v>
      </c>
    </row>
    <row r="299" spans="1:14">
      <c r="A299" s="247">
        <v>44460</v>
      </c>
      <c r="B299" s="248">
        <v>44468</v>
      </c>
      <c r="C299" s="193" t="s">
        <v>1146</v>
      </c>
      <c r="D299" s="192">
        <v>24188</v>
      </c>
      <c r="E299" s="249">
        <v>36000</v>
      </c>
      <c r="F299" s="249"/>
      <c r="G299" s="197" t="s">
        <v>102</v>
      </c>
      <c r="L299" s="198">
        <v>4000</v>
      </c>
      <c r="N299" s="198">
        <v>7200</v>
      </c>
    </row>
    <row r="300" spans="1:14">
      <c r="A300" s="247">
        <v>44460</v>
      </c>
      <c r="B300" s="248">
        <v>44468</v>
      </c>
      <c r="C300" s="193" t="s">
        <v>1166</v>
      </c>
      <c r="D300" s="192">
        <v>24189</v>
      </c>
      <c r="E300" s="249">
        <v>113000</v>
      </c>
      <c r="F300" s="249"/>
      <c r="G300" s="197" t="s">
        <v>102</v>
      </c>
      <c r="I300" s="198">
        <v>5000</v>
      </c>
    </row>
    <row r="301" spans="1:14">
      <c r="A301" s="247">
        <v>44460</v>
      </c>
      <c r="B301" s="248">
        <v>44468</v>
      </c>
      <c r="C301" s="193" t="s">
        <v>1855</v>
      </c>
      <c r="D301" s="192">
        <v>24191</v>
      </c>
      <c r="E301" s="249">
        <v>22600</v>
      </c>
      <c r="F301" s="249"/>
      <c r="G301" s="197" t="s">
        <v>102</v>
      </c>
      <c r="I301" s="198">
        <v>1000</v>
      </c>
    </row>
    <row r="302" spans="1:14">
      <c r="A302" s="247">
        <v>44460</v>
      </c>
      <c r="B302" s="248">
        <v>44468</v>
      </c>
      <c r="C302" s="193" t="s">
        <v>1736</v>
      </c>
      <c r="D302" s="192">
        <v>24192</v>
      </c>
      <c r="E302" s="249">
        <v>28250</v>
      </c>
      <c r="F302" s="249"/>
      <c r="G302" s="197" t="s">
        <v>102</v>
      </c>
      <c r="I302" s="198">
        <v>1250</v>
      </c>
    </row>
    <row r="303" spans="1:14">
      <c r="A303" s="247">
        <v>44460</v>
      </c>
      <c r="B303" s="248">
        <v>44468</v>
      </c>
      <c r="C303" s="193" t="s">
        <v>1858</v>
      </c>
      <c r="D303" s="192">
        <v>24193</v>
      </c>
      <c r="E303" s="249">
        <v>108000</v>
      </c>
      <c r="F303" s="249"/>
      <c r="G303" s="197" t="s">
        <v>102</v>
      </c>
      <c r="L303" s="198">
        <v>12000</v>
      </c>
      <c r="N303" s="198">
        <v>21600</v>
      </c>
    </row>
    <row r="304" spans="1:14">
      <c r="A304" s="247">
        <v>44460</v>
      </c>
      <c r="B304" s="248">
        <v>44468</v>
      </c>
      <c r="C304" s="193" t="s">
        <v>1191</v>
      </c>
      <c r="D304" s="192">
        <v>24194</v>
      </c>
      <c r="E304" s="249">
        <v>36000</v>
      </c>
      <c r="F304" s="249"/>
      <c r="G304" s="197" t="s">
        <v>102</v>
      </c>
      <c r="L304" s="198">
        <v>4000</v>
      </c>
      <c r="N304" s="198">
        <v>7200</v>
      </c>
    </row>
    <row r="305" spans="1:15">
      <c r="A305" s="247">
        <v>44460</v>
      </c>
      <c r="B305" s="248">
        <v>44468</v>
      </c>
      <c r="C305" s="193" t="s">
        <v>1124</v>
      </c>
      <c r="D305" s="192">
        <v>24195</v>
      </c>
      <c r="E305" s="249">
        <v>321</v>
      </c>
      <c r="F305" s="249">
        <f>SUM(E302:E305)</f>
        <v>172571</v>
      </c>
      <c r="G305" s="197" t="s">
        <v>1373</v>
      </c>
    </row>
    <row r="306" spans="1:15">
      <c r="A306" s="247">
        <v>44460</v>
      </c>
      <c r="B306" s="248">
        <v>44466</v>
      </c>
      <c r="C306" s="193" t="s">
        <v>1191</v>
      </c>
      <c r="D306" s="192">
        <v>24196</v>
      </c>
      <c r="E306" s="249">
        <v>108000</v>
      </c>
      <c r="F306" s="249"/>
      <c r="G306" s="197" t="s">
        <v>102</v>
      </c>
      <c r="L306" s="198">
        <v>12000</v>
      </c>
      <c r="N306" s="198">
        <v>21600</v>
      </c>
    </row>
    <row r="307" spans="1:15">
      <c r="A307" s="247">
        <v>44460</v>
      </c>
      <c r="B307" s="248">
        <v>44462</v>
      </c>
      <c r="C307" s="193" t="s">
        <v>1844</v>
      </c>
      <c r="D307" s="192">
        <v>24197</v>
      </c>
      <c r="E307" s="249">
        <v>40747.800000000003</v>
      </c>
      <c r="F307" s="249"/>
      <c r="G307" s="197" t="s">
        <v>705</v>
      </c>
      <c r="I307" s="198">
        <v>1803</v>
      </c>
    </row>
    <row r="308" spans="1:15">
      <c r="A308" s="247">
        <v>44460</v>
      </c>
      <c r="B308" s="248">
        <v>44468</v>
      </c>
      <c r="C308" s="250" t="s">
        <v>1856</v>
      </c>
      <c r="D308" s="192">
        <v>24199</v>
      </c>
      <c r="E308" s="249">
        <v>53794.62</v>
      </c>
      <c r="F308" s="249">
        <f>SUM(E298:E308)</f>
        <v>573713.42000000004</v>
      </c>
      <c r="G308" s="197" t="s">
        <v>705</v>
      </c>
      <c r="I308" s="198">
        <v>2499.75</v>
      </c>
      <c r="O308" s="198">
        <v>2699.73</v>
      </c>
    </row>
    <row r="309" spans="1:15">
      <c r="A309" s="247">
        <v>44460</v>
      </c>
      <c r="B309" s="248">
        <v>44468</v>
      </c>
      <c r="C309" s="193" t="s">
        <v>1857</v>
      </c>
      <c r="D309" s="192">
        <v>24200</v>
      </c>
      <c r="E309" s="249">
        <v>72000</v>
      </c>
      <c r="F309" s="249"/>
      <c r="G309" s="197" t="s">
        <v>102</v>
      </c>
      <c r="L309" s="198">
        <v>8000</v>
      </c>
      <c r="N309" s="198">
        <v>14400</v>
      </c>
    </row>
    <row r="310" spans="1:15">
      <c r="A310" s="247">
        <v>44460</v>
      </c>
      <c r="B310" s="248">
        <v>44466</v>
      </c>
      <c r="C310" s="193" t="s">
        <v>1096</v>
      </c>
      <c r="D310" s="192">
        <v>24201</v>
      </c>
      <c r="E310" s="249">
        <v>1128018</v>
      </c>
      <c r="F310" s="249"/>
      <c r="G310" s="197" t="s">
        <v>1377</v>
      </c>
      <c r="I310" s="198">
        <v>5382</v>
      </c>
    </row>
    <row r="311" spans="1:15">
      <c r="A311" s="247">
        <v>44460</v>
      </c>
      <c r="B311" s="248">
        <v>44468</v>
      </c>
      <c r="C311" s="193" t="s">
        <v>1161</v>
      </c>
      <c r="D311" s="192">
        <v>24202</v>
      </c>
      <c r="E311" s="249">
        <v>81000</v>
      </c>
      <c r="F311" s="249">
        <f>SUM(E256:E311)</f>
        <v>59072423.519999996</v>
      </c>
      <c r="G311" s="197" t="s">
        <v>102</v>
      </c>
      <c r="L311" s="198">
        <v>9000</v>
      </c>
      <c r="N311" s="198">
        <v>16200</v>
      </c>
    </row>
    <row r="312" spans="1:15">
      <c r="A312" s="247">
        <v>44461</v>
      </c>
      <c r="B312" s="248">
        <v>44462</v>
      </c>
      <c r="C312" s="193" t="s">
        <v>1389</v>
      </c>
      <c r="D312" s="192">
        <v>24203</v>
      </c>
      <c r="E312" s="249">
        <v>1706515</v>
      </c>
      <c r="F312" s="249"/>
      <c r="G312" s="197" t="s">
        <v>1390</v>
      </c>
    </row>
    <row r="313" spans="1:15">
      <c r="A313" s="247">
        <v>44461</v>
      </c>
      <c r="B313" s="248">
        <v>44466</v>
      </c>
      <c r="C313" s="193" t="s">
        <v>1203</v>
      </c>
      <c r="D313" s="192">
        <v>24206</v>
      </c>
      <c r="E313" s="249">
        <v>2377237.5</v>
      </c>
      <c r="F313" s="249"/>
      <c r="G313" s="197" t="s">
        <v>1387</v>
      </c>
      <c r="I313" s="198">
        <v>105187.5</v>
      </c>
    </row>
    <row r="314" spans="1:15">
      <c r="A314" s="247">
        <v>44461</v>
      </c>
      <c r="B314" s="248">
        <v>44466</v>
      </c>
      <c r="C314" s="193" t="s">
        <v>1117</v>
      </c>
      <c r="D314" s="192">
        <v>24207</v>
      </c>
      <c r="E314" s="249">
        <v>2200</v>
      </c>
      <c r="F314" s="249">
        <f>SUM(E312:E314)</f>
        <v>4085952.5</v>
      </c>
      <c r="G314" s="197" t="s">
        <v>1377</v>
      </c>
      <c r="H314" s="198">
        <v>2200</v>
      </c>
    </row>
    <row r="315" spans="1:15">
      <c r="A315" s="247">
        <v>44461</v>
      </c>
      <c r="B315" s="248">
        <v>44466</v>
      </c>
      <c r="C315" s="193" t="s">
        <v>1117</v>
      </c>
      <c r="D315" s="192">
        <v>24207</v>
      </c>
      <c r="E315" s="249">
        <v>91251</v>
      </c>
      <c r="F315" s="249">
        <f>+E315+E314</f>
        <v>93451</v>
      </c>
      <c r="G315" s="197" t="s">
        <v>162</v>
      </c>
      <c r="H315" s="198">
        <v>91251</v>
      </c>
    </row>
    <row r="316" spans="1:15">
      <c r="A316" s="247">
        <v>44461</v>
      </c>
      <c r="B316" s="248">
        <v>44466</v>
      </c>
      <c r="C316" s="193" t="s">
        <v>1117</v>
      </c>
      <c r="D316" s="192">
        <v>24207</v>
      </c>
      <c r="E316" s="249">
        <v>18944.13</v>
      </c>
      <c r="F316" s="249">
        <f>SUM(E314:E316)</f>
        <v>112395.13</v>
      </c>
      <c r="G316" s="197" t="s">
        <v>1383</v>
      </c>
      <c r="H316" s="198">
        <f>800+18144.13</f>
        <v>18944.13</v>
      </c>
    </row>
    <row r="317" spans="1:15">
      <c r="A317" s="247">
        <v>44461</v>
      </c>
      <c r="B317" s="248">
        <v>44466</v>
      </c>
      <c r="C317" s="193" t="s">
        <v>1117</v>
      </c>
      <c r="D317" s="192">
        <v>24207</v>
      </c>
      <c r="E317" s="249">
        <v>38683.26</v>
      </c>
      <c r="F317" s="249">
        <f>SUM(E311:E317)</f>
        <v>4315830.8899999997</v>
      </c>
      <c r="G317" s="197" t="s">
        <v>1870</v>
      </c>
      <c r="H317" s="198">
        <f>20454.84+17628.41+600.01</f>
        <v>38683.26</v>
      </c>
    </row>
    <row r="318" spans="1:15">
      <c r="A318" s="247">
        <v>44462</v>
      </c>
      <c r="B318" s="248">
        <v>44466</v>
      </c>
      <c r="C318" s="193" t="s">
        <v>1381</v>
      </c>
      <c r="D318" s="192">
        <v>24208</v>
      </c>
      <c r="E318" s="249">
        <v>24922.34</v>
      </c>
      <c r="F318" s="249"/>
      <c r="G318" s="197" t="s">
        <v>1380</v>
      </c>
      <c r="H318" s="198">
        <v>1311.7</v>
      </c>
    </row>
    <row r="319" spans="1:15">
      <c r="A319" s="247">
        <v>44462</v>
      </c>
      <c r="B319" s="248">
        <v>44466</v>
      </c>
      <c r="C319" s="193" t="s">
        <v>1849</v>
      </c>
      <c r="D319" s="192">
        <v>24209</v>
      </c>
      <c r="E319" s="249">
        <v>600950.84</v>
      </c>
      <c r="F319" s="249">
        <f>SUM(E316:E319)</f>
        <v>683500.57</v>
      </c>
      <c r="G319" s="197" t="s">
        <v>1380</v>
      </c>
      <c r="H319" s="198">
        <v>31628.99</v>
      </c>
    </row>
    <row r="320" spans="1:15">
      <c r="A320" s="247">
        <v>44462</v>
      </c>
      <c r="B320" s="248">
        <v>44466</v>
      </c>
      <c r="C320" s="193" t="s">
        <v>1389</v>
      </c>
      <c r="D320" s="192">
        <v>24210</v>
      </c>
      <c r="E320" s="249">
        <v>1519495</v>
      </c>
      <c r="F320" s="249"/>
      <c r="G320" s="197" t="s">
        <v>1390</v>
      </c>
    </row>
    <row r="321" spans="1:8">
      <c r="A321" s="247">
        <v>44466</v>
      </c>
      <c r="B321" s="248">
        <v>44468</v>
      </c>
      <c r="C321" s="193" t="s">
        <v>1852</v>
      </c>
      <c r="D321" s="192">
        <v>24211</v>
      </c>
      <c r="E321" s="249">
        <v>22319.83</v>
      </c>
      <c r="F321" s="249"/>
      <c r="G321" s="197" t="s">
        <v>1388</v>
      </c>
    </row>
    <row r="322" spans="1:8">
      <c r="A322" s="247">
        <v>44466</v>
      </c>
      <c r="B322" s="248">
        <v>44468</v>
      </c>
      <c r="C322" s="193" t="s">
        <v>1860</v>
      </c>
      <c r="D322" s="192">
        <v>24213</v>
      </c>
      <c r="E322" s="249">
        <v>344826.17</v>
      </c>
      <c r="F322" s="249">
        <f>SUM(E312:E322)</f>
        <v>6747345.0699999994</v>
      </c>
      <c r="G322" s="197" t="s">
        <v>1387</v>
      </c>
      <c r="H322" s="198">
        <v>18148.740000000002</v>
      </c>
    </row>
    <row r="323" spans="1:8">
      <c r="A323" s="247">
        <v>44468</v>
      </c>
      <c r="B323" s="248">
        <v>44468</v>
      </c>
      <c r="C323" s="193" t="s">
        <v>1389</v>
      </c>
      <c r="D323" s="192">
        <v>24215</v>
      </c>
      <c r="E323" s="249">
        <v>1232260</v>
      </c>
      <c r="F323" s="249"/>
      <c r="G323" s="197" t="s">
        <v>1390</v>
      </c>
    </row>
    <row r="324" spans="1:8">
      <c r="A324" s="247">
        <v>44468</v>
      </c>
      <c r="B324" s="248">
        <v>44469</v>
      </c>
      <c r="C324" s="193" t="s">
        <v>1873</v>
      </c>
      <c r="D324" s="192">
        <v>24216</v>
      </c>
      <c r="E324" s="249">
        <v>9750000</v>
      </c>
      <c r="F324" s="249"/>
      <c r="G324" s="197" t="s">
        <v>1388</v>
      </c>
    </row>
    <row r="325" spans="1:8">
      <c r="A325" s="247">
        <v>44469</v>
      </c>
      <c r="B325" s="248">
        <v>44469</v>
      </c>
      <c r="C325" s="193" t="s">
        <v>1389</v>
      </c>
      <c r="D325" s="192">
        <v>24217</v>
      </c>
      <c r="E325" s="249">
        <v>1185470</v>
      </c>
      <c r="F325" s="249">
        <f>SUM(E300:E325)</f>
        <v>20706806.490000002</v>
      </c>
      <c r="G325" s="197" t="s">
        <v>1390</v>
      </c>
    </row>
    <row r="326" spans="1:8" ht="15.75">
      <c r="C326" s="252" t="s">
        <v>1396</v>
      </c>
      <c r="E326" s="253">
        <f>SUM(E8:E325)</f>
        <v>237691020.27313566</v>
      </c>
      <c r="F326" s="253">
        <f>SUM(F8:F325)</f>
        <v>140763119.77999997</v>
      </c>
      <c r="G326" s="254">
        <f>+F326-F252</f>
        <v>140609299.77999997</v>
      </c>
    </row>
    <row r="327" spans="1:8">
      <c r="E327" s="255"/>
      <c r="F327" s="255"/>
    </row>
    <row r="328" spans="1:8">
      <c r="E328" s="255"/>
      <c r="F328" s="255"/>
      <c r="G328" s="198"/>
    </row>
    <row r="329" spans="1:8">
      <c r="E329" s="255"/>
      <c r="F329" s="255"/>
    </row>
    <row r="330" spans="1:8" ht="15.75">
      <c r="C330" s="256" t="s">
        <v>1397</v>
      </c>
      <c r="E330" s="255"/>
      <c r="F330" s="255"/>
      <c r="G330" s="257"/>
    </row>
    <row r="331" spans="1:8">
      <c r="A331" s="248">
        <v>44469</v>
      </c>
      <c r="B331" s="258"/>
      <c r="C331" s="259" t="s">
        <v>1398</v>
      </c>
      <c r="D331" s="260">
        <v>24483137322</v>
      </c>
      <c r="E331" s="261">
        <v>200000</v>
      </c>
      <c r="F331" s="261"/>
    </row>
    <row r="332" spans="1:8">
      <c r="A332" s="248">
        <v>44468</v>
      </c>
      <c r="B332" s="258"/>
      <c r="C332" s="259" t="s">
        <v>1398</v>
      </c>
      <c r="D332" s="260">
        <v>24470318825</v>
      </c>
      <c r="E332" s="261">
        <v>1700000</v>
      </c>
      <c r="F332" s="261"/>
    </row>
    <row r="333" spans="1:8">
      <c r="A333" s="248">
        <v>44462</v>
      </c>
      <c r="C333" s="262" t="s">
        <v>1398</v>
      </c>
      <c r="D333" s="260">
        <v>24426794473</v>
      </c>
      <c r="E333" s="261">
        <v>3000000</v>
      </c>
      <c r="F333" s="261"/>
    </row>
    <row r="334" spans="1:8">
      <c r="A334" s="248">
        <v>44461</v>
      </c>
      <c r="C334" s="262" t="s">
        <v>1398</v>
      </c>
      <c r="D334" s="260">
        <v>24413537953</v>
      </c>
      <c r="E334" s="261">
        <v>5200000</v>
      </c>
      <c r="F334" s="261"/>
    </row>
    <row r="335" spans="1:8">
      <c r="A335" s="248">
        <v>44460</v>
      </c>
      <c r="C335" s="262" t="s">
        <v>1398</v>
      </c>
      <c r="D335" s="260">
        <v>24404110848</v>
      </c>
      <c r="E335" s="261">
        <v>4400000</v>
      </c>
      <c r="F335" s="261"/>
    </row>
    <row r="336" spans="1:8">
      <c r="A336" s="248">
        <v>44459</v>
      </c>
      <c r="C336" s="262" t="s">
        <v>1398</v>
      </c>
      <c r="D336" s="260">
        <v>24393597770</v>
      </c>
      <c r="E336" s="261">
        <v>3000</v>
      </c>
      <c r="F336" s="261"/>
    </row>
    <row r="337" spans="1:8">
      <c r="A337" s="248">
        <v>44459</v>
      </c>
      <c r="C337" s="262" t="s">
        <v>1398</v>
      </c>
      <c r="D337" s="260">
        <v>24392107541</v>
      </c>
      <c r="E337" s="261">
        <v>30000</v>
      </c>
      <c r="F337" s="261"/>
    </row>
    <row r="338" spans="1:8">
      <c r="A338" s="248">
        <v>44459</v>
      </c>
      <c r="C338" s="262" t="s">
        <v>1398</v>
      </c>
      <c r="D338" s="260">
        <v>24390586081</v>
      </c>
      <c r="E338" s="261">
        <v>126000</v>
      </c>
      <c r="F338" s="261"/>
    </row>
    <row r="339" spans="1:8">
      <c r="A339" s="248">
        <v>44456</v>
      </c>
      <c r="B339" s="258"/>
      <c r="C339" s="259" t="s">
        <v>1398</v>
      </c>
      <c r="D339" s="260">
        <v>24373534499</v>
      </c>
      <c r="E339" s="261">
        <v>5500000</v>
      </c>
      <c r="F339" s="261"/>
    </row>
    <row r="340" spans="1:8">
      <c r="A340" s="248">
        <v>44455</v>
      </c>
      <c r="B340" s="258"/>
      <c r="C340" s="259" t="s">
        <v>1398</v>
      </c>
      <c r="D340" s="260">
        <v>24367210339</v>
      </c>
      <c r="E340" s="261">
        <v>850000</v>
      </c>
      <c r="F340" s="261"/>
    </row>
    <row r="341" spans="1:8">
      <c r="A341" s="248">
        <v>44449</v>
      </c>
      <c r="B341" s="258"/>
      <c r="C341" s="262" t="s">
        <v>1398</v>
      </c>
      <c r="D341" s="260">
        <v>24323537635</v>
      </c>
      <c r="E341" s="261">
        <v>4100000</v>
      </c>
      <c r="F341" s="261"/>
    </row>
    <row r="342" spans="1:8">
      <c r="A342" s="248">
        <v>44449</v>
      </c>
      <c r="B342" s="258"/>
      <c r="C342" s="259" t="s">
        <v>1398</v>
      </c>
      <c r="D342" s="260">
        <v>24322999493</v>
      </c>
      <c r="E342" s="261">
        <v>4900000</v>
      </c>
      <c r="F342" s="261"/>
    </row>
    <row r="343" spans="1:8">
      <c r="A343" s="248">
        <v>44448</v>
      </c>
      <c r="B343" s="258"/>
      <c r="C343" s="259" t="s">
        <v>1398</v>
      </c>
      <c r="D343" s="260">
        <v>24314661207</v>
      </c>
      <c r="E343" s="261">
        <v>3200000</v>
      </c>
      <c r="F343" s="261"/>
    </row>
    <row r="344" spans="1:8">
      <c r="A344" s="248">
        <v>44445</v>
      </c>
      <c r="B344" s="258"/>
      <c r="C344" s="259" t="s">
        <v>1398</v>
      </c>
      <c r="D344" s="260">
        <v>24290695269</v>
      </c>
      <c r="E344" s="261">
        <v>200000</v>
      </c>
      <c r="F344" s="261"/>
    </row>
    <row r="345" spans="1:8">
      <c r="A345" s="248">
        <v>44442</v>
      </c>
      <c r="B345" s="258"/>
      <c r="C345" s="262" t="s">
        <v>1398</v>
      </c>
      <c r="D345" s="260">
        <v>24274284749</v>
      </c>
      <c r="E345" s="261">
        <v>4500000</v>
      </c>
      <c r="F345" s="261"/>
    </row>
    <row r="346" spans="1:8">
      <c r="A346" s="248">
        <v>44440</v>
      </c>
      <c r="B346" s="258"/>
      <c r="C346" s="259" t="s">
        <v>1398</v>
      </c>
      <c r="D346" s="260">
        <v>24255132272</v>
      </c>
      <c r="E346" s="263">
        <v>600000</v>
      </c>
      <c r="F346" s="264"/>
    </row>
    <row r="347" spans="1:8" ht="15.75">
      <c r="A347" s="265"/>
      <c r="C347" s="252" t="s">
        <v>1396</v>
      </c>
      <c r="D347" s="266"/>
      <c r="E347" s="267">
        <f>SUM(E331:E346)</f>
        <v>38509000</v>
      </c>
      <c r="F347" s="267"/>
    </row>
    <row r="348" spans="1:8" ht="15.75">
      <c r="C348" s="252"/>
      <c r="E348" s="255"/>
      <c r="F348" s="255"/>
    </row>
    <row r="349" spans="1:8" ht="15.75">
      <c r="C349" s="252"/>
      <c r="E349" s="255"/>
      <c r="F349" s="255"/>
    </row>
    <row r="350" spans="1:8" ht="15.75">
      <c r="C350" s="252"/>
      <c r="E350" s="255"/>
      <c r="F350" s="255"/>
    </row>
    <row r="351" spans="1:8">
      <c r="C351" s="268" t="s">
        <v>1399</v>
      </c>
      <c r="E351" s="255"/>
      <c r="F351" s="255"/>
    </row>
    <row r="352" spans="1:8">
      <c r="A352" s="248">
        <v>44445</v>
      </c>
      <c r="B352" s="197"/>
      <c r="C352" s="262" t="s">
        <v>1401</v>
      </c>
      <c r="D352" s="260">
        <v>23933</v>
      </c>
      <c r="E352" s="269">
        <v>101700</v>
      </c>
      <c r="F352" s="269"/>
      <c r="G352" s="270"/>
      <c r="H352" s="271"/>
    </row>
    <row r="353" spans="1:8">
      <c r="A353" s="248">
        <v>44456</v>
      </c>
      <c r="B353" s="197"/>
      <c r="C353" s="262" t="s">
        <v>1401</v>
      </c>
      <c r="D353" s="260">
        <v>23869</v>
      </c>
      <c r="E353" s="269">
        <v>446569.73</v>
      </c>
      <c r="F353" s="269"/>
      <c r="G353" s="270"/>
      <c r="H353" s="271"/>
    </row>
    <row r="354" spans="1:8">
      <c r="A354" s="248">
        <v>44452</v>
      </c>
      <c r="B354" s="197"/>
      <c r="C354" s="262" t="s">
        <v>1401</v>
      </c>
      <c r="D354" s="260">
        <v>24032</v>
      </c>
      <c r="E354" s="269">
        <v>487030</v>
      </c>
      <c r="F354" s="269"/>
      <c r="G354" s="270"/>
      <c r="H354" s="271"/>
    </row>
    <row r="355" spans="1:8">
      <c r="A355" s="248">
        <v>44456</v>
      </c>
      <c r="B355" s="197"/>
      <c r="C355" s="262" t="s">
        <v>1401</v>
      </c>
      <c r="D355" s="260">
        <v>23868</v>
      </c>
      <c r="E355" s="269">
        <v>3000000</v>
      </c>
      <c r="F355" s="269"/>
      <c r="G355" s="270"/>
      <c r="H355" s="271"/>
    </row>
    <row r="356" spans="1:8">
      <c r="A356" s="248">
        <v>44460</v>
      </c>
      <c r="B356" s="197"/>
      <c r="C356" s="262" t="s">
        <v>1401</v>
      </c>
      <c r="D356" s="260">
        <v>999148434</v>
      </c>
      <c r="E356" s="269">
        <v>107472.03</v>
      </c>
      <c r="F356" s="269"/>
      <c r="G356" s="270"/>
      <c r="H356" s="271"/>
    </row>
    <row r="357" spans="1:8">
      <c r="A357" s="248">
        <v>44459</v>
      </c>
      <c r="B357" s="197"/>
      <c r="C357" s="262" t="s">
        <v>1401</v>
      </c>
      <c r="D357" s="272">
        <v>45240000002</v>
      </c>
      <c r="E357" s="269">
        <v>3000000</v>
      </c>
      <c r="F357" s="269"/>
      <c r="G357" s="270"/>
      <c r="H357" s="271"/>
    </row>
    <row r="358" spans="1:8">
      <c r="A358" s="248">
        <v>44449</v>
      </c>
      <c r="B358" s="197"/>
      <c r="C358" s="262" t="s">
        <v>1401</v>
      </c>
      <c r="D358" s="260">
        <v>23967</v>
      </c>
      <c r="E358" s="269">
        <v>27000</v>
      </c>
      <c r="F358" s="269"/>
      <c r="G358" s="270"/>
      <c r="H358" s="271"/>
    </row>
    <row r="359" spans="1:8">
      <c r="A359" s="248">
        <v>44469</v>
      </c>
      <c r="B359" s="197"/>
      <c r="C359" s="273" t="s">
        <v>1400</v>
      </c>
      <c r="D359" s="260">
        <v>24178</v>
      </c>
      <c r="E359" s="261">
        <v>22500</v>
      </c>
      <c r="F359" s="261"/>
      <c r="G359" s="270" t="s">
        <v>1405</v>
      </c>
      <c r="H359" s="271"/>
    </row>
    <row r="360" spans="1:8">
      <c r="A360" s="248">
        <v>44441</v>
      </c>
      <c r="B360" s="197"/>
      <c r="C360" s="273" t="s">
        <v>1400</v>
      </c>
      <c r="D360" s="260">
        <v>23589</v>
      </c>
      <c r="E360" s="261">
        <v>50747.69</v>
      </c>
      <c r="F360" s="261">
        <f>+E360+E359</f>
        <v>73247.69</v>
      </c>
      <c r="G360" s="270" t="s">
        <v>1405</v>
      </c>
      <c r="H360" s="271"/>
    </row>
    <row r="361" spans="1:8" ht="15.75">
      <c r="C361" s="252" t="s">
        <v>1396</v>
      </c>
      <c r="E361" s="253">
        <f>SUM(E352:E360)</f>
        <v>7243019.4500000002</v>
      </c>
      <c r="F361" s="253">
        <f>SUM(F352:F360)</f>
        <v>73247.69</v>
      </c>
    </row>
    <row r="362" spans="1:8" ht="15.75">
      <c r="C362" s="252"/>
      <c r="E362" s="255"/>
      <c r="F362" s="255"/>
    </row>
    <row r="363" spans="1:8" ht="15.75">
      <c r="C363" s="252"/>
      <c r="E363" s="255"/>
      <c r="F363" s="255"/>
    </row>
    <row r="364" spans="1:8">
      <c r="C364" s="274" t="s">
        <v>1402</v>
      </c>
    </row>
    <row r="365" spans="1:8">
      <c r="A365" s="237">
        <v>44469</v>
      </c>
      <c r="B365" s="258"/>
      <c r="C365" s="276" t="s">
        <v>1403</v>
      </c>
      <c r="D365" s="260"/>
      <c r="E365" s="261">
        <f>+[2]Hoja2!D8</f>
        <v>176755.03</v>
      </c>
      <c r="F365" s="261">
        <f>+E365</f>
        <v>176755.03</v>
      </c>
      <c r="G365" s="197" t="s">
        <v>1351</v>
      </c>
    </row>
    <row r="366" spans="1:8">
      <c r="A366" s="277">
        <v>44462</v>
      </c>
      <c r="B366" s="278"/>
      <c r="C366" s="279" t="s">
        <v>1876</v>
      </c>
      <c r="D366" s="280">
        <v>4524000001</v>
      </c>
      <c r="E366" s="281">
        <f>+[2]Hoja2!D769</f>
        <v>7132064.3700000001</v>
      </c>
      <c r="F366" s="261">
        <f>+E366</f>
        <v>7132064.3700000001</v>
      </c>
      <c r="G366" s="197" t="s">
        <v>1388</v>
      </c>
    </row>
    <row r="367" spans="1:8">
      <c r="A367" s="277">
        <v>44449</v>
      </c>
      <c r="B367" s="278"/>
      <c r="C367" s="279" t="s">
        <v>1877</v>
      </c>
      <c r="D367" s="279" t="s">
        <v>1404</v>
      </c>
      <c r="E367" s="282">
        <v>234088.75</v>
      </c>
      <c r="F367" s="282"/>
      <c r="G367" s="197" t="s">
        <v>1353</v>
      </c>
    </row>
    <row r="368" spans="1:8">
      <c r="A368" s="237">
        <v>44469</v>
      </c>
      <c r="C368" s="238" t="s">
        <v>1406</v>
      </c>
      <c r="D368" s="266"/>
      <c r="E368" s="283">
        <f>+[2]Hoja2!D317+[2]Hoja3!E275</f>
        <v>136675</v>
      </c>
      <c r="F368" s="283">
        <f>+E368+E367</f>
        <v>370763.75</v>
      </c>
      <c r="G368" s="197" t="s">
        <v>1353</v>
      </c>
    </row>
    <row r="369" spans="1:7">
      <c r="A369" s="237">
        <v>44469</v>
      </c>
      <c r="C369" s="238" t="s">
        <v>1407</v>
      </c>
      <c r="E369" s="240">
        <f>+[2]Hoja2!D766</f>
        <v>495541.18000000017</v>
      </c>
      <c r="F369" s="240">
        <f>+E369</f>
        <v>495541.18000000017</v>
      </c>
      <c r="G369" s="197" t="s">
        <v>1878</v>
      </c>
    </row>
    <row r="370" spans="1:7" ht="15.75">
      <c r="C370" s="252" t="s">
        <v>1396</v>
      </c>
      <c r="E370" s="284">
        <f>SUM(E365:E369)</f>
        <v>8175124.3300000001</v>
      </c>
      <c r="F370" s="284">
        <f>SUM(F365:F369)</f>
        <v>8175124.3300000001</v>
      </c>
    </row>
    <row r="374" spans="1:7" ht="15.75" thickBot="1">
      <c r="C374" s="285" t="s">
        <v>1408</v>
      </c>
      <c r="E374" s="286">
        <f>+E370+E361+E347+E326</f>
        <v>291618164.05313563</v>
      </c>
      <c r="F374" s="287">
        <f>+F370+F361+G326</f>
        <v>148857671.79999998</v>
      </c>
    </row>
    <row r="375" spans="1:7" ht="15.75" thickTop="1"/>
    <row r="376" spans="1:7">
      <c r="C376" s="238"/>
      <c r="F376" s="288"/>
      <c r="G376" s="289"/>
    </row>
    <row r="377" spans="1:7">
      <c r="C377" s="238"/>
      <c r="E377" s="240"/>
      <c r="F377" s="240"/>
    </row>
    <row r="378" spans="1:7" ht="18">
      <c r="B378" s="405" t="s">
        <v>1409</v>
      </c>
      <c r="C378" s="405"/>
      <c r="D378" s="405"/>
      <c r="E378" s="405"/>
      <c r="F378" s="234"/>
    </row>
    <row r="379" spans="1:7" ht="16.5">
      <c r="A379" s="265"/>
      <c r="B379" s="406" t="s">
        <v>1410</v>
      </c>
      <c r="C379" s="406"/>
      <c r="D379" s="406"/>
      <c r="E379" s="406"/>
      <c r="F379" s="290"/>
    </row>
    <row r="380" spans="1:7">
      <c r="A380" s="265"/>
      <c r="B380" s="407" t="s">
        <v>1879</v>
      </c>
      <c r="C380" s="407"/>
      <c r="D380" s="407"/>
      <c r="E380" s="407"/>
      <c r="F380" s="291"/>
    </row>
    <row r="381" spans="1:7">
      <c r="A381" s="265"/>
      <c r="B381" s="292"/>
      <c r="C381" s="193"/>
      <c r="D381" s="192"/>
      <c r="E381" s="193"/>
      <c r="F381" s="193"/>
    </row>
    <row r="382" spans="1:7">
      <c r="A382" s="265"/>
      <c r="B382" s="292"/>
      <c r="C382" s="193"/>
      <c r="D382" s="192"/>
      <c r="E382" s="193"/>
      <c r="F382" s="193"/>
    </row>
    <row r="383" spans="1:7">
      <c r="A383" s="265"/>
      <c r="B383" s="293" t="s">
        <v>1058</v>
      </c>
      <c r="C383" s="294" t="s">
        <v>3</v>
      </c>
      <c r="D383" s="294" t="s">
        <v>1411</v>
      </c>
      <c r="E383" s="294" t="s">
        <v>1412</v>
      </c>
      <c r="F383" s="295"/>
    </row>
    <row r="384" spans="1:7">
      <c r="A384" s="265"/>
      <c r="B384" s="296"/>
      <c r="C384" s="297" t="s">
        <v>1413</v>
      </c>
      <c r="D384" s="295"/>
      <c r="E384" s="295"/>
      <c r="F384" s="295"/>
    </row>
    <row r="385" spans="1:12">
      <c r="A385" s="265"/>
      <c r="B385" s="248">
        <v>44456</v>
      </c>
      <c r="C385" s="298" t="s">
        <v>1414</v>
      </c>
      <c r="D385" s="295"/>
      <c r="E385" s="299">
        <v>49910870.710000001</v>
      </c>
      <c r="F385" s="299">
        <v>185025.26999999993</v>
      </c>
      <c r="G385" s="14" t="s">
        <v>1415</v>
      </c>
      <c r="H385" s="198">
        <v>185025.26999999993</v>
      </c>
    </row>
    <row r="386" spans="1:12">
      <c r="A386" s="265"/>
      <c r="B386" s="248"/>
      <c r="C386" s="298"/>
      <c r="D386" s="295"/>
      <c r="E386" s="299"/>
      <c r="F386" s="299">
        <v>691066</v>
      </c>
      <c r="G386" s="14" t="s">
        <v>1416</v>
      </c>
      <c r="H386" s="198">
        <v>691066</v>
      </c>
    </row>
    <row r="387" spans="1:12">
      <c r="A387" s="265"/>
      <c r="B387" s="248"/>
      <c r="C387" s="298"/>
      <c r="D387" s="295"/>
      <c r="E387" s="299"/>
      <c r="F387" s="299">
        <v>1266937.5</v>
      </c>
      <c r="G387" s="14" t="s">
        <v>1417</v>
      </c>
      <c r="H387" s="198">
        <f>1689250*0.75</f>
        <v>1266937.5</v>
      </c>
    </row>
    <row r="388" spans="1:12">
      <c r="A388" s="265"/>
      <c r="B388" s="248"/>
      <c r="C388" s="298"/>
      <c r="D388" s="295"/>
      <c r="E388" s="299"/>
      <c r="F388" s="299">
        <v>727875</v>
      </c>
      <c r="G388" s="14" t="s">
        <v>1418</v>
      </c>
      <c r="H388" s="198">
        <f>970500*0.75</f>
        <v>727875</v>
      </c>
    </row>
    <row r="389" spans="1:12">
      <c r="A389" s="265"/>
      <c r="B389" s="248"/>
      <c r="C389" s="298"/>
      <c r="D389" s="295"/>
      <c r="E389" s="299"/>
      <c r="F389" s="299">
        <v>47039966.939999998</v>
      </c>
      <c r="G389" s="14" t="s">
        <v>1395</v>
      </c>
      <c r="H389" s="198">
        <v>47039966.939999998</v>
      </c>
    </row>
    <row r="390" spans="1:12">
      <c r="A390" s="265"/>
      <c r="B390" s="248">
        <v>44456</v>
      </c>
      <c r="C390" s="298" t="s">
        <v>1419</v>
      </c>
      <c r="D390" s="295"/>
      <c r="E390" s="261">
        <v>3829237.75</v>
      </c>
      <c r="F390" s="261">
        <f>+E390</f>
        <v>3829237.75</v>
      </c>
      <c r="G390" s="197" t="s">
        <v>1880</v>
      </c>
    </row>
    <row r="391" spans="1:12">
      <c r="A391" s="265"/>
      <c r="B391" s="248">
        <v>44456</v>
      </c>
      <c r="C391" s="298" t="s">
        <v>1420</v>
      </c>
      <c r="D391" s="295"/>
      <c r="E391" s="261">
        <v>135000</v>
      </c>
      <c r="F391" s="261">
        <f>+E391</f>
        <v>135000</v>
      </c>
      <c r="G391" s="197" t="s">
        <v>1394</v>
      </c>
      <c r="H391" s="198">
        <f>SUM(H385:H390)</f>
        <v>49910870.710000001</v>
      </c>
      <c r="L391" s="198">
        <v>15000</v>
      </c>
    </row>
    <row r="392" spans="1:12">
      <c r="A392" s="265"/>
      <c r="B392" s="248">
        <v>44456</v>
      </c>
      <c r="C392" s="300" t="s">
        <v>1421</v>
      </c>
      <c r="D392" s="295"/>
      <c r="E392" s="263">
        <v>3290248.98</v>
      </c>
      <c r="F392" s="263">
        <f>+E392</f>
        <v>3290248.98</v>
      </c>
      <c r="G392" s="197" t="s">
        <v>1421</v>
      </c>
    </row>
    <row r="393" spans="1:12">
      <c r="A393" s="265"/>
      <c r="B393" s="296"/>
      <c r="C393" s="291" t="s">
        <v>1422</v>
      </c>
      <c r="D393" s="295"/>
      <c r="E393" s="301">
        <f>SUM(E385:E392)</f>
        <v>57165357.439999998</v>
      </c>
      <c r="F393" s="301">
        <f>SUM(F385:F392)</f>
        <v>57165357.439999998</v>
      </c>
      <c r="H393" s="198">
        <f>+E385-H391</f>
        <v>0</v>
      </c>
    </row>
    <row r="394" spans="1:12">
      <c r="A394" s="265"/>
      <c r="B394" s="296"/>
      <c r="C394" s="295"/>
      <c r="D394" s="295"/>
      <c r="E394" s="302"/>
      <c r="F394" s="302"/>
    </row>
    <row r="395" spans="1:12">
      <c r="A395" s="265"/>
      <c r="B395" s="296"/>
      <c r="C395" s="295"/>
      <c r="D395" s="295"/>
      <c r="E395" s="302"/>
      <c r="F395" s="302"/>
    </row>
    <row r="396" spans="1:12">
      <c r="A396" s="265"/>
      <c r="B396" s="296"/>
      <c r="C396" s="295"/>
      <c r="D396" s="295"/>
      <c r="E396" s="302"/>
      <c r="F396" s="302"/>
    </row>
    <row r="397" spans="1:12" ht="15.75">
      <c r="A397" s="265"/>
      <c r="B397" s="247"/>
      <c r="C397" s="256" t="s">
        <v>1397</v>
      </c>
      <c r="D397" s="192"/>
      <c r="E397" s="196"/>
      <c r="F397" s="196"/>
    </row>
    <row r="398" spans="1:12">
      <c r="A398" s="265"/>
      <c r="B398" s="248">
        <v>44441</v>
      </c>
      <c r="C398" s="292" t="s">
        <v>1423</v>
      </c>
      <c r="D398" s="260">
        <v>24264302514</v>
      </c>
      <c r="E398" s="261">
        <v>100000</v>
      </c>
      <c r="F398" s="261"/>
    </row>
    <row r="399" spans="1:12">
      <c r="A399" s="265"/>
      <c r="B399" s="248">
        <v>44445</v>
      </c>
      <c r="C399" s="292" t="s">
        <v>1423</v>
      </c>
      <c r="D399" s="260">
        <v>24289690140</v>
      </c>
      <c r="E399" s="261">
        <v>1600000</v>
      </c>
      <c r="F399" s="261"/>
    </row>
    <row r="400" spans="1:12">
      <c r="A400" s="265"/>
      <c r="B400" s="248">
        <v>44447</v>
      </c>
      <c r="C400" s="292" t="s">
        <v>1423</v>
      </c>
      <c r="D400" s="260">
        <v>24307302108</v>
      </c>
      <c r="E400" s="261">
        <v>100000</v>
      </c>
      <c r="F400" s="261"/>
    </row>
    <row r="401" spans="1:15">
      <c r="A401" s="265"/>
      <c r="B401" s="248">
        <v>44449</v>
      </c>
      <c r="C401" s="292" t="s">
        <v>1423</v>
      </c>
      <c r="D401" s="260">
        <v>24323049106</v>
      </c>
      <c r="E401" s="261">
        <v>5000000</v>
      </c>
      <c r="F401" s="261"/>
    </row>
    <row r="402" spans="1:15">
      <c r="A402" s="265"/>
      <c r="B402" s="248">
        <v>44455</v>
      </c>
      <c r="C402" s="292" t="s">
        <v>1423</v>
      </c>
      <c r="D402" s="260">
        <v>24363080757</v>
      </c>
      <c r="E402" s="261">
        <v>15000000</v>
      </c>
      <c r="F402" s="261"/>
    </row>
    <row r="403" spans="1:15">
      <c r="A403" s="265"/>
      <c r="B403" s="248">
        <v>44455</v>
      </c>
      <c r="C403" s="292" t="s">
        <v>1423</v>
      </c>
      <c r="D403" s="260">
        <v>24363077186</v>
      </c>
      <c r="E403" s="261">
        <v>20000000</v>
      </c>
      <c r="F403" s="261"/>
    </row>
    <row r="404" spans="1:15">
      <c r="A404" s="265"/>
      <c r="B404" s="248">
        <v>44456</v>
      </c>
      <c r="C404" s="292" t="s">
        <v>1423</v>
      </c>
      <c r="D404" s="260">
        <v>24378232246</v>
      </c>
      <c r="E404" s="261">
        <v>73500000</v>
      </c>
      <c r="F404" s="261"/>
    </row>
    <row r="405" spans="1:15">
      <c r="A405" s="265"/>
      <c r="B405" s="248">
        <v>44459</v>
      </c>
      <c r="C405" s="292" t="s">
        <v>1423</v>
      </c>
      <c r="D405" s="260">
        <v>24380520883</v>
      </c>
      <c r="E405" s="261">
        <v>300000</v>
      </c>
      <c r="F405" s="261"/>
    </row>
    <row r="406" spans="1:15">
      <c r="A406" s="265"/>
      <c r="B406" s="247"/>
      <c r="C406" s="291" t="s">
        <v>1422</v>
      </c>
      <c r="D406" s="192"/>
      <c r="E406" s="303">
        <f>SUM(E398:E405)</f>
        <v>115600000</v>
      </c>
      <c r="F406" s="304"/>
    </row>
    <row r="407" spans="1:15">
      <c r="A407" s="265"/>
      <c r="B407" s="247"/>
      <c r="C407" s="291"/>
      <c r="D407" s="192"/>
      <c r="E407" s="304"/>
      <c r="F407" s="304"/>
    </row>
    <row r="408" spans="1:15">
      <c r="A408" s="265"/>
      <c r="B408" s="247"/>
      <c r="C408" s="291"/>
      <c r="D408" s="192"/>
      <c r="E408" s="304"/>
      <c r="F408" s="304"/>
    </row>
    <row r="409" spans="1:15">
      <c r="A409" s="265"/>
      <c r="B409" s="247"/>
      <c r="C409" s="291"/>
      <c r="D409" s="192"/>
      <c r="E409" s="304"/>
      <c r="F409" s="304"/>
    </row>
    <row r="410" spans="1:15">
      <c r="A410" s="265"/>
      <c r="B410" s="247"/>
      <c r="C410" s="268" t="s">
        <v>1424</v>
      </c>
      <c r="D410" s="192"/>
      <c r="E410" s="304"/>
      <c r="F410" s="304"/>
    </row>
    <row r="411" spans="1:15">
      <c r="A411" s="265"/>
      <c r="B411" s="248"/>
      <c r="C411" s="193" t="s">
        <v>1425</v>
      </c>
      <c r="D411" s="260"/>
      <c r="E411" s="261">
        <v>16367000</v>
      </c>
      <c r="F411" s="261">
        <v>16367000</v>
      </c>
      <c r="G411" s="197" t="s">
        <v>1880</v>
      </c>
    </row>
    <row r="412" spans="1:15">
      <c r="A412" s="265"/>
      <c r="B412" s="248"/>
      <c r="C412" s="193" t="s">
        <v>1429</v>
      </c>
      <c r="D412" s="260"/>
      <c r="E412" s="261">
        <v>21360</v>
      </c>
      <c r="F412" s="261">
        <v>21360</v>
      </c>
      <c r="G412" s="197" t="s">
        <v>1430</v>
      </c>
    </row>
    <row r="413" spans="1:15">
      <c r="A413" s="265"/>
      <c r="B413" s="248"/>
      <c r="C413" s="193" t="s">
        <v>1427</v>
      </c>
      <c r="D413" s="260"/>
      <c r="E413" s="261">
        <v>69160</v>
      </c>
      <c r="F413" s="261">
        <v>69160</v>
      </c>
      <c r="G413" s="197" t="s">
        <v>1394</v>
      </c>
      <c r="I413" s="189">
        <f>35000*0.05</f>
        <v>1750</v>
      </c>
      <c r="J413" s="189"/>
      <c r="K413" s="189">
        <v>0</v>
      </c>
      <c r="L413" s="189">
        <v>3500</v>
      </c>
      <c r="M413" s="189"/>
      <c r="N413" s="189">
        <v>6300</v>
      </c>
      <c r="O413" s="189">
        <f>6300*0.3</f>
        <v>1890</v>
      </c>
    </row>
    <row r="414" spans="1:15">
      <c r="A414" s="265"/>
      <c r="B414" s="248"/>
      <c r="C414" s="193" t="s">
        <v>1426</v>
      </c>
      <c r="D414" s="260"/>
      <c r="E414" s="261">
        <v>387800</v>
      </c>
      <c r="F414" s="261"/>
      <c r="G414" s="197" t="s">
        <v>1395</v>
      </c>
    </row>
    <row r="415" spans="1:15">
      <c r="A415" s="265"/>
      <c r="B415" s="248"/>
      <c r="C415" s="193" t="s">
        <v>1881</v>
      </c>
      <c r="D415" s="260"/>
      <c r="E415" s="261">
        <v>56875</v>
      </c>
      <c r="F415" s="261"/>
      <c r="G415" s="197" t="s">
        <v>1395</v>
      </c>
    </row>
    <row r="416" spans="1:15" ht="29.25">
      <c r="A416" s="265"/>
      <c r="B416" s="248"/>
      <c r="C416" s="305" t="s">
        <v>1428</v>
      </c>
      <c r="D416" s="260"/>
      <c r="E416" s="261">
        <v>10260.11</v>
      </c>
      <c r="F416" s="261"/>
      <c r="G416" s="197" t="s">
        <v>1395</v>
      </c>
    </row>
    <row r="417" spans="1:15">
      <c r="A417" s="265"/>
      <c r="B417" s="248"/>
      <c r="C417" s="193" t="s">
        <v>1431</v>
      </c>
      <c r="D417" s="260"/>
      <c r="E417" s="261">
        <v>25747.5</v>
      </c>
      <c r="F417" s="261"/>
      <c r="G417" s="197" t="s">
        <v>1395</v>
      </c>
    </row>
    <row r="418" spans="1:15">
      <c r="A418" s="265"/>
      <c r="B418" s="248"/>
      <c r="C418" s="193" t="s">
        <v>1432</v>
      </c>
      <c r="D418" s="260"/>
      <c r="E418" s="261">
        <v>9800</v>
      </c>
      <c r="F418" s="261">
        <f>SUM(E414:E418)</f>
        <v>490482.61</v>
      </c>
      <c r="G418" s="197" t="s">
        <v>1395</v>
      </c>
    </row>
    <row r="419" spans="1:15">
      <c r="A419" s="265"/>
      <c r="B419" s="248"/>
      <c r="C419" s="193"/>
      <c r="D419" s="260"/>
      <c r="E419" s="261"/>
      <c r="F419" s="261">
        <v>1718195.5</v>
      </c>
      <c r="G419" s="197" t="s">
        <v>1882</v>
      </c>
    </row>
    <row r="420" spans="1:15">
      <c r="A420" s="265"/>
      <c r="B420" s="248"/>
      <c r="C420" s="193" t="s">
        <v>1433</v>
      </c>
      <c r="D420" s="306"/>
      <c r="E420" s="307">
        <v>8335245.5</v>
      </c>
      <c r="F420" s="307">
        <f>8271745.5-1718195.5</f>
        <v>6553550</v>
      </c>
      <c r="G420" s="197" t="s">
        <v>1883</v>
      </c>
    </row>
    <row r="421" spans="1:15">
      <c r="A421" s="265"/>
      <c r="B421" s="247"/>
      <c r="C421" s="193" t="s">
        <v>1884</v>
      </c>
      <c r="D421" s="260"/>
      <c r="E421" s="308">
        <v>-63500</v>
      </c>
      <c r="F421" s="261"/>
    </row>
    <row r="422" spans="1:15">
      <c r="A422" s="265"/>
      <c r="B422" s="247"/>
      <c r="C422" s="291" t="s">
        <v>1422</v>
      </c>
      <c r="D422" s="192"/>
      <c r="E422" s="303">
        <f>SUM(E411:E421)</f>
        <v>25219748.109999999</v>
      </c>
      <c r="F422" s="303">
        <f>SUM(F411:F421)</f>
        <v>25219748.109999999</v>
      </c>
    </row>
    <row r="423" spans="1:15">
      <c r="A423" s="265"/>
      <c r="B423" s="247"/>
      <c r="C423" s="193"/>
      <c r="D423" s="192"/>
      <c r="E423" s="309"/>
      <c r="F423" s="309"/>
    </row>
    <row r="424" spans="1:15">
      <c r="A424" s="265"/>
      <c r="B424" s="247"/>
      <c r="C424" s="297" t="s">
        <v>1434</v>
      </c>
      <c r="D424" s="192"/>
      <c r="E424" s="196"/>
      <c r="F424" s="196"/>
    </row>
    <row r="425" spans="1:15">
      <c r="A425" s="265"/>
      <c r="B425" s="247">
        <v>44439</v>
      </c>
      <c r="C425" s="298" t="s">
        <v>1435</v>
      </c>
      <c r="D425" s="192"/>
      <c r="E425" s="307">
        <v>175</v>
      </c>
      <c r="F425" s="307">
        <f>+E425</f>
        <v>175</v>
      </c>
      <c r="G425" s="298" t="s">
        <v>1435</v>
      </c>
    </row>
    <row r="426" spans="1:15">
      <c r="A426" s="265"/>
      <c r="B426" s="247">
        <v>44439</v>
      </c>
      <c r="C426" s="298" t="s">
        <v>1436</v>
      </c>
      <c r="D426" s="192"/>
      <c r="E426" s="310">
        <v>123239.47</v>
      </c>
      <c r="F426" s="310">
        <f>+E426</f>
        <v>123239.47</v>
      </c>
      <c r="G426" s="298" t="s">
        <v>1436</v>
      </c>
      <c r="I426" s="311"/>
      <c r="J426" s="311"/>
      <c r="K426" s="311"/>
      <c r="L426" s="311"/>
      <c r="M426" s="311"/>
      <c r="N426" s="311"/>
      <c r="O426" s="311"/>
    </row>
    <row r="427" spans="1:15">
      <c r="A427" s="265"/>
      <c r="B427" s="247"/>
      <c r="C427" s="291" t="s">
        <v>1422</v>
      </c>
      <c r="D427" s="192"/>
      <c r="E427" s="312">
        <f>SUM(E425:E426)</f>
        <v>123414.47</v>
      </c>
      <c r="F427" s="312">
        <f>SUM(F425:F426)</f>
        <v>123414.47</v>
      </c>
    </row>
    <row r="428" spans="1:15">
      <c r="A428" s="265"/>
      <c r="B428" s="247"/>
      <c r="C428" s="291"/>
      <c r="D428" s="192"/>
      <c r="E428" s="313"/>
      <c r="F428" s="313"/>
      <c r="I428" s="314">
        <f t="shared" ref="I428:O428" si="0">SUM(I8:I427)</f>
        <v>1068487.6799999997</v>
      </c>
      <c r="J428" s="314">
        <f t="shared" si="0"/>
        <v>207901.16999999998</v>
      </c>
      <c r="K428" s="314">
        <f t="shared" si="0"/>
        <v>6200</v>
      </c>
      <c r="L428" s="314">
        <f t="shared" si="0"/>
        <v>191000</v>
      </c>
      <c r="M428" s="314">
        <f t="shared" si="0"/>
        <v>7730.14</v>
      </c>
      <c r="N428" s="314">
        <f t="shared" si="0"/>
        <v>493423.13</v>
      </c>
      <c r="O428" s="314">
        <f t="shared" si="0"/>
        <v>71375.149999999994</v>
      </c>
    </row>
    <row r="429" spans="1:15">
      <c r="A429" s="265"/>
      <c r="B429" s="247"/>
      <c r="C429" s="291"/>
      <c r="D429" s="192"/>
      <c r="E429" s="313"/>
      <c r="F429" s="313"/>
    </row>
    <row r="430" spans="1:15">
      <c r="A430" s="265"/>
      <c r="B430" s="247"/>
      <c r="C430" s="291"/>
      <c r="D430" s="192"/>
      <c r="E430" s="313"/>
      <c r="F430" s="313"/>
      <c r="I430" s="198">
        <f>+I428/0.05</f>
        <v>21369753.599999994</v>
      </c>
      <c r="J430" s="198">
        <f>+J428/0.1</f>
        <v>2079011.6999999997</v>
      </c>
      <c r="K430" s="198">
        <f>+K428/0.1</f>
        <v>62000</v>
      </c>
      <c r="L430" s="198">
        <f>+L428/0.1</f>
        <v>1910000</v>
      </c>
      <c r="M430" s="198">
        <f>+M428/0.02</f>
        <v>386507</v>
      </c>
      <c r="N430" s="198">
        <f>+N428/0.18</f>
        <v>2741239.611111111</v>
      </c>
      <c r="O430" s="198">
        <f>+O428/0.3/0.18</f>
        <v>1321762.0370370371</v>
      </c>
    </row>
    <row r="431" spans="1:15" ht="16.5" thickBot="1">
      <c r="A431" s="265"/>
      <c r="B431" s="247"/>
      <c r="C431" s="291" t="s">
        <v>1437</v>
      </c>
      <c r="D431" s="192"/>
      <c r="E431" s="315">
        <f>+E393+E406+E422+E427</f>
        <v>198108520.02000001</v>
      </c>
      <c r="F431" s="316">
        <f>+F393+F406+F422+F427</f>
        <v>82508520.019999996</v>
      </c>
    </row>
    <row r="432" spans="1:15" ht="15.75" thickTop="1">
      <c r="A432" s="265"/>
      <c r="B432" s="265"/>
      <c r="D432" s="266"/>
      <c r="E432" s="289"/>
      <c r="F432" s="289"/>
    </row>
    <row r="433" spans="1:6">
      <c r="A433" s="265"/>
      <c r="B433" s="265"/>
      <c r="D433" s="266"/>
      <c r="E433" s="289"/>
      <c r="F433" s="289"/>
    </row>
    <row r="434" spans="1:6" ht="19.5">
      <c r="A434" s="265"/>
      <c r="B434" s="265"/>
      <c r="C434" s="317" t="s">
        <v>1885</v>
      </c>
      <c r="D434" s="266"/>
      <c r="E434" s="289"/>
      <c r="F434" s="289"/>
    </row>
    <row r="435" spans="1:6">
      <c r="A435" s="265"/>
      <c r="B435" s="265"/>
      <c r="D435" s="266"/>
      <c r="E435" s="289"/>
      <c r="F435" s="289"/>
    </row>
    <row r="436" spans="1:6">
      <c r="A436" s="265"/>
      <c r="B436" s="265"/>
      <c r="D436" s="266"/>
      <c r="E436" s="289"/>
      <c r="F436" s="289"/>
    </row>
    <row r="437" spans="1:6">
      <c r="A437" s="265"/>
      <c r="B437" s="247">
        <v>44439</v>
      </c>
      <c r="C437" s="298" t="s">
        <v>1435</v>
      </c>
      <c r="D437" s="192"/>
      <c r="E437" s="307">
        <v>175</v>
      </c>
      <c r="F437" s="318">
        <f>+E437</f>
        <v>175</v>
      </c>
    </row>
    <row r="438" spans="1:6">
      <c r="A438" s="265"/>
      <c r="B438" s="265"/>
      <c r="D438" s="266"/>
      <c r="E438" s="289"/>
      <c r="F438" s="289"/>
    </row>
    <row r="439" spans="1:6">
      <c r="A439" s="265"/>
      <c r="B439" s="265"/>
      <c r="D439" s="266"/>
      <c r="E439" s="289"/>
      <c r="F439" s="289"/>
    </row>
    <row r="440" spans="1:6">
      <c r="A440" s="265"/>
      <c r="B440" s="265"/>
      <c r="D440" s="266"/>
      <c r="E440" s="289"/>
      <c r="F440" s="318">
        <f>+F437+F431+F374</f>
        <v>231366366.81999999</v>
      </c>
    </row>
    <row r="441" spans="1:6">
      <c r="A441" s="265"/>
      <c r="B441" s="265"/>
      <c r="D441" s="266"/>
      <c r="E441" s="289"/>
      <c r="F441" s="289"/>
    </row>
    <row r="442" spans="1:6">
      <c r="A442" s="265"/>
      <c r="B442" s="265"/>
      <c r="D442" s="266"/>
      <c r="E442" s="289"/>
      <c r="F442" s="289">
        <f>+[1]FLUJO!L102</f>
        <v>200732683.31313556</v>
      </c>
    </row>
  </sheetData>
  <mergeCells count="9">
    <mergeCell ref="I6:O6"/>
    <mergeCell ref="B378:E378"/>
    <mergeCell ref="B379:E379"/>
    <mergeCell ref="B380:E380"/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39"/>
  <sheetViews>
    <sheetView topLeftCell="A7" workbookViewId="0">
      <selection activeCell="C21" sqref="C21"/>
    </sheetView>
  </sheetViews>
  <sheetFormatPr baseColWidth="10" defaultColWidth="9.140625" defaultRowHeight="15"/>
  <cols>
    <col min="1" max="1" width="5.42578125" style="117" customWidth="1"/>
    <col min="2" max="2" width="48.42578125" style="1" bestFit="1" customWidth="1"/>
    <col min="3" max="3" width="36.42578125" style="54" bestFit="1" customWidth="1"/>
    <col min="4" max="4" width="20" style="54" bestFit="1" customWidth="1"/>
    <col min="5" max="5" width="10.42578125" style="199" bestFit="1" customWidth="1"/>
    <col min="6" max="6" width="19.85546875" style="33" bestFit="1" customWidth="1"/>
    <col min="7" max="7" width="15" style="1" customWidth="1"/>
    <col min="8" max="8" width="18.140625" style="110" bestFit="1" customWidth="1"/>
    <col min="9" max="9" width="20.5703125" style="117" bestFit="1" customWidth="1"/>
    <col min="10" max="10" width="10.7109375" style="117" bestFit="1" customWidth="1"/>
    <col min="11" max="16384" width="9.140625" style="117"/>
  </cols>
  <sheetData>
    <row r="2" spans="2:10">
      <c r="B2" s="5"/>
      <c r="C2" s="51"/>
      <c r="D2" s="51"/>
      <c r="F2" s="45"/>
    </row>
    <row r="3" spans="2:10">
      <c r="B3" s="5"/>
      <c r="C3" s="51"/>
      <c r="D3" s="51"/>
      <c r="F3" s="45"/>
    </row>
    <row r="4" spans="2:10">
      <c r="B4" s="5"/>
      <c r="C4" s="52"/>
      <c r="D4" s="52"/>
      <c r="F4" s="45"/>
    </row>
    <row r="5" spans="2:10">
      <c r="B5" s="5"/>
      <c r="C5" s="52"/>
      <c r="D5" s="52"/>
      <c r="F5" s="45"/>
    </row>
    <row r="6" spans="2:10">
      <c r="B6" s="5"/>
      <c r="C6" s="52"/>
      <c r="D6" s="52"/>
      <c r="F6" s="45"/>
    </row>
    <row r="7" spans="2:10">
      <c r="B7" s="5"/>
      <c r="C7" s="52"/>
      <c r="D7" s="52"/>
      <c r="F7" s="45"/>
    </row>
    <row r="8" spans="2:10">
      <c r="B8" s="5"/>
      <c r="C8" s="52"/>
      <c r="D8" s="52"/>
      <c r="F8" s="45"/>
    </row>
    <row r="9" spans="2:10">
      <c r="B9" s="5"/>
      <c r="C9" s="52"/>
      <c r="D9" s="52"/>
      <c r="F9" s="45"/>
    </row>
    <row r="10" spans="2:10" ht="15.75">
      <c r="B10" s="387" t="s">
        <v>1442</v>
      </c>
      <c r="C10" s="387"/>
      <c r="D10" s="387"/>
      <c r="E10" s="387"/>
      <c r="F10" s="387"/>
      <c r="G10" s="387"/>
      <c r="H10" s="387"/>
      <c r="I10" s="387"/>
      <c r="J10" s="387"/>
    </row>
    <row r="11" spans="2:10" ht="15.75">
      <c r="B11" s="387" t="s">
        <v>1695</v>
      </c>
      <c r="C11" s="387"/>
      <c r="D11" s="387"/>
      <c r="E11" s="387"/>
      <c r="F11" s="387"/>
      <c r="G11" s="387"/>
      <c r="H11" s="387"/>
      <c r="I11" s="387"/>
      <c r="J11" s="387"/>
    </row>
    <row r="12" spans="2:10">
      <c r="B12" s="3"/>
      <c r="C12" s="53"/>
      <c r="D12" s="53"/>
      <c r="E12" s="200"/>
      <c r="F12" s="46"/>
    </row>
    <row r="13" spans="2:10" ht="3.75" customHeight="1"/>
    <row r="14" spans="2:10" s="123" customFormat="1" ht="29.25" customHeight="1">
      <c r="B14" s="9" t="s">
        <v>1438</v>
      </c>
      <c r="C14" s="55" t="s">
        <v>3</v>
      </c>
      <c r="D14" s="9" t="s">
        <v>1439</v>
      </c>
      <c r="E14" s="92" t="s">
        <v>1440</v>
      </c>
      <c r="F14" s="47" t="s">
        <v>1441</v>
      </c>
      <c r="G14" s="65" t="s">
        <v>1048</v>
      </c>
      <c r="H14" s="47" t="s">
        <v>1049</v>
      </c>
      <c r="I14" s="47" t="s">
        <v>1050</v>
      </c>
      <c r="J14" s="9" t="s">
        <v>1051</v>
      </c>
    </row>
    <row r="15" spans="2:10">
      <c r="B15" s="7"/>
      <c r="C15" s="8"/>
      <c r="D15" s="8"/>
      <c r="E15" s="201"/>
      <c r="F15" s="48"/>
      <c r="G15" s="66"/>
    </row>
    <row r="16" spans="2:10">
      <c r="B16" s="227" t="s">
        <v>914</v>
      </c>
      <c r="C16" s="19" t="s">
        <v>705</v>
      </c>
      <c r="D16" s="25" t="s">
        <v>1444</v>
      </c>
      <c r="E16" s="10">
        <v>44201</v>
      </c>
      <c r="F16" s="32">
        <v>24249</v>
      </c>
      <c r="G16" s="10">
        <v>44201</v>
      </c>
      <c r="H16" s="90">
        <v>24249</v>
      </c>
      <c r="I16" s="90">
        <f>+F16-H16</f>
        <v>0</v>
      </c>
      <c r="J16" s="118" t="s">
        <v>1572</v>
      </c>
    </row>
    <row r="17" spans="2:10">
      <c r="B17" s="227" t="s">
        <v>914</v>
      </c>
      <c r="C17" s="19" t="s">
        <v>705</v>
      </c>
      <c r="D17" s="25" t="s">
        <v>952</v>
      </c>
      <c r="E17" s="10">
        <v>44203</v>
      </c>
      <c r="F17" s="32">
        <v>684400</v>
      </c>
      <c r="G17" s="10">
        <v>44203</v>
      </c>
      <c r="H17" s="90">
        <v>684400</v>
      </c>
      <c r="I17" s="90">
        <f>+F17-H17</f>
        <v>0</v>
      </c>
      <c r="J17" s="118" t="s">
        <v>1572</v>
      </c>
    </row>
    <row r="18" spans="2:10">
      <c r="B18" s="13"/>
      <c r="C18" s="19"/>
      <c r="D18" s="25"/>
      <c r="E18" s="10"/>
      <c r="F18" s="32"/>
      <c r="G18" s="10"/>
      <c r="H18" s="90"/>
      <c r="I18" s="68"/>
      <c r="J18" s="68"/>
    </row>
    <row r="19" spans="2:10">
      <c r="B19" s="13" t="s">
        <v>1573</v>
      </c>
      <c r="C19" s="19" t="s">
        <v>120</v>
      </c>
      <c r="D19" s="25" t="s">
        <v>1574</v>
      </c>
      <c r="E19" s="10">
        <v>44355</v>
      </c>
      <c r="F19" s="32">
        <v>1087075</v>
      </c>
      <c r="G19" s="10">
        <v>44355</v>
      </c>
      <c r="H19" s="32">
        <v>1087075</v>
      </c>
      <c r="I19" s="90">
        <f>+F19-H19</f>
        <v>0</v>
      </c>
      <c r="J19" s="118" t="s">
        <v>1572</v>
      </c>
    </row>
    <row r="20" spans="2:10">
      <c r="B20" s="13"/>
      <c r="C20" s="19"/>
      <c r="D20" s="25"/>
      <c r="E20" s="10"/>
      <c r="F20" s="32"/>
      <c r="G20" s="10"/>
      <c r="H20" s="90"/>
      <c r="I20" s="68"/>
      <c r="J20" s="68"/>
    </row>
    <row r="21" spans="2:10">
      <c r="B21" s="13" t="s">
        <v>1575</v>
      </c>
      <c r="C21" s="19" t="s">
        <v>1576</v>
      </c>
      <c r="D21" s="25" t="s">
        <v>1577</v>
      </c>
      <c r="E21" s="10">
        <v>44263</v>
      </c>
      <c r="F21" s="32">
        <v>6420</v>
      </c>
      <c r="G21" s="26" t="s">
        <v>1578</v>
      </c>
      <c r="H21" s="90">
        <v>6420</v>
      </c>
      <c r="I21" s="90">
        <f>+F21-H21</f>
        <v>0</v>
      </c>
      <c r="J21" s="118" t="s">
        <v>1572</v>
      </c>
    </row>
    <row r="22" spans="2:10">
      <c r="B22" s="13"/>
      <c r="C22" s="19"/>
      <c r="D22" s="25"/>
      <c r="E22" s="10"/>
      <c r="F22" s="32"/>
      <c r="G22" s="26"/>
      <c r="H22" s="90"/>
      <c r="I22" s="68"/>
      <c r="J22" s="68"/>
    </row>
    <row r="23" spans="2:10">
      <c r="B23" s="13" t="s">
        <v>1579</v>
      </c>
      <c r="C23" s="19" t="s">
        <v>962</v>
      </c>
      <c r="D23" s="17" t="s">
        <v>592</v>
      </c>
      <c r="E23" s="10">
        <v>44203</v>
      </c>
      <c r="F23" s="32">
        <v>29951.49</v>
      </c>
      <c r="G23" s="10">
        <v>44203</v>
      </c>
      <c r="H23" s="90">
        <v>29951.49</v>
      </c>
      <c r="I23" s="90">
        <f>+F23-H23</f>
        <v>0</v>
      </c>
      <c r="J23" s="118" t="s">
        <v>1572</v>
      </c>
    </row>
    <row r="24" spans="2:10">
      <c r="B24" s="13"/>
      <c r="C24" s="19"/>
      <c r="D24" s="17"/>
      <c r="E24" s="10"/>
      <c r="F24" s="32"/>
      <c r="G24" s="10"/>
      <c r="H24" s="90"/>
      <c r="I24" s="68"/>
      <c r="J24" s="68"/>
    </row>
    <row r="25" spans="2:10">
      <c r="B25" s="156" t="s">
        <v>1103</v>
      </c>
      <c r="C25" s="19" t="s">
        <v>923</v>
      </c>
      <c r="D25" s="17" t="s">
        <v>1555</v>
      </c>
      <c r="E25" s="10" t="s">
        <v>972</v>
      </c>
      <c r="F25" s="32">
        <v>1440000</v>
      </c>
      <c r="G25" s="10" t="s">
        <v>972</v>
      </c>
      <c r="H25" s="90">
        <f>+F25</f>
        <v>1440000</v>
      </c>
      <c r="I25" s="90">
        <f>+F25-H25</f>
        <v>0</v>
      </c>
      <c r="J25" s="118" t="s">
        <v>1572</v>
      </c>
    </row>
    <row r="26" spans="2:10">
      <c r="B26" s="156"/>
      <c r="C26" s="19"/>
      <c r="D26" s="17"/>
      <c r="E26" s="10"/>
      <c r="F26" s="32"/>
      <c r="G26" s="10"/>
      <c r="H26" s="90"/>
      <c r="I26" s="90"/>
      <c r="J26" s="118"/>
    </row>
    <row r="27" spans="2:10">
      <c r="B27" s="156" t="s">
        <v>1122</v>
      </c>
      <c r="C27" s="19" t="s">
        <v>1580</v>
      </c>
      <c r="D27" s="17" t="s">
        <v>1581</v>
      </c>
      <c r="E27" s="10">
        <v>44204</v>
      </c>
      <c r="F27" s="32">
        <v>651911.74</v>
      </c>
      <c r="G27" s="10">
        <v>44204</v>
      </c>
      <c r="H27" s="32">
        <v>651911.74</v>
      </c>
      <c r="I27" s="90">
        <f>+F27-H27</f>
        <v>0</v>
      </c>
      <c r="J27" s="118" t="s">
        <v>1572</v>
      </c>
    </row>
    <row r="28" spans="2:10">
      <c r="B28" s="156"/>
      <c r="C28" s="19"/>
      <c r="D28" s="17"/>
      <c r="E28" s="10"/>
      <c r="F28" s="32"/>
      <c r="G28" s="10"/>
      <c r="H28" s="90"/>
      <c r="I28" s="90"/>
      <c r="J28" s="118"/>
    </row>
    <row r="29" spans="2:10">
      <c r="B29" s="156" t="s">
        <v>1101</v>
      </c>
      <c r="C29" s="19" t="s">
        <v>935</v>
      </c>
      <c r="D29" s="17" t="s">
        <v>1582</v>
      </c>
      <c r="E29" s="10">
        <v>44203</v>
      </c>
      <c r="F29" s="32">
        <v>587528.57999999996</v>
      </c>
      <c r="G29" s="10">
        <v>44203</v>
      </c>
      <c r="H29" s="90">
        <v>587528.57999999996</v>
      </c>
      <c r="I29" s="90">
        <f>+F29-H29</f>
        <v>0</v>
      </c>
      <c r="J29" s="118" t="s">
        <v>1572</v>
      </c>
    </row>
    <row r="30" spans="2:10">
      <c r="B30" s="156"/>
      <c r="C30" s="19"/>
      <c r="D30" s="17"/>
      <c r="E30" s="10"/>
      <c r="F30" s="32"/>
      <c r="G30" s="10"/>
      <c r="H30" s="90"/>
      <c r="I30" s="90"/>
      <c r="J30" s="118"/>
    </row>
    <row r="31" spans="2:10">
      <c r="B31" s="156" t="s">
        <v>1081</v>
      </c>
      <c r="C31" s="19" t="s">
        <v>935</v>
      </c>
      <c r="D31" s="17" t="s">
        <v>904</v>
      </c>
      <c r="E31" s="10" t="s">
        <v>1583</v>
      </c>
      <c r="F31" s="32">
        <v>129741</v>
      </c>
      <c r="G31" s="10" t="s">
        <v>1583</v>
      </c>
      <c r="H31" s="90">
        <f>+F31</f>
        <v>129741</v>
      </c>
      <c r="I31" s="90">
        <f>+F31-H31</f>
        <v>0</v>
      </c>
      <c r="J31" s="118" t="s">
        <v>1572</v>
      </c>
    </row>
    <row r="32" spans="2:10">
      <c r="B32" s="156"/>
      <c r="C32" s="19"/>
      <c r="D32" s="17"/>
      <c r="E32" s="10"/>
      <c r="F32" s="32"/>
      <c r="G32" s="10"/>
      <c r="H32" s="90"/>
      <c r="I32" s="90"/>
      <c r="J32" s="118"/>
    </row>
    <row r="33" spans="2:10">
      <c r="B33" s="156" t="s">
        <v>1079</v>
      </c>
      <c r="C33" s="19" t="s">
        <v>962</v>
      </c>
      <c r="D33" s="17" t="s">
        <v>1450</v>
      </c>
      <c r="E33" s="10">
        <v>44203</v>
      </c>
      <c r="F33" s="32">
        <v>96715.75</v>
      </c>
      <c r="G33" s="10">
        <v>44203</v>
      </c>
      <c r="H33" s="32">
        <v>96715.75</v>
      </c>
      <c r="I33" s="90">
        <f>+F33-H33</f>
        <v>0</v>
      </c>
      <c r="J33" s="118" t="s">
        <v>1572</v>
      </c>
    </row>
    <row r="34" spans="2:10">
      <c r="B34" s="156"/>
      <c r="C34" s="19"/>
      <c r="D34" s="17"/>
      <c r="E34" s="10"/>
      <c r="F34" s="32"/>
      <c r="G34" s="10"/>
      <c r="H34" s="90"/>
      <c r="I34" s="90"/>
      <c r="J34" s="118"/>
    </row>
    <row r="35" spans="2:10">
      <c r="B35" s="156" t="s">
        <v>1070</v>
      </c>
      <c r="C35" s="19" t="s">
        <v>1374</v>
      </c>
      <c r="D35" s="17" t="s">
        <v>1584</v>
      </c>
      <c r="E35" s="10">
        <v>44204</v>
      </c>
      <c r="F35" s="32">
        <v>293743.3</v>
      </c>
      <c r="G35" s="10">
        <v>44204</v>
      </c>
      <c r="H35" s="32">
        <v>293743.3</v>
      </c>
      <c r="I35" s="90">
        <f>+F35-H35</f>
        <v>0</v>
      </c>
      <c r="J35" s="118" t="s">
        <v>1572</v>
      </c>
    </row>
    <row r="36" spans="2:10">
      <c r="B36" s="156"/>
      <c r="C36" s="19"/>
      <c r="D36" s="17"/>
      <c r="E36" s="10"/>
      <c r="F36" s="32"/>
      <c r="G36" s="10"/>
      <c r="H36" s="90"/>
      <c r="I36" s="90"/>
      <c r="J36" s="118"/>
    </row>
    <row r="37" spans="2:10">
      <c r="B37" s="156" t="s">
        <v>1086</v>
      </c>
      <c r="C37" s="19" t="s">
        <v>1585</v>
      </c>
      <c r="D37" s="17" t="s">
        <v>934</v>
      </c>
      <c r="E37" s="10">
        <v>44203</v>
      </c>
      <c r="F37" s="32">
        <v>119872.61</v>
      </c>
      <c r="G37" s="10">
        <v>44203</v>
      </c>
      <c r="H37" s="32">
        <v>119872.61</v>
      </c>
      <c r="I37" s="90">
        <f>+F37-H37</f>
        <v>0</v>
      </c>
      <c r="J37" s="118" t="s">
        <v>1572</v>
      </c>
    </row>
    <row r="38" spans="2:10">
      <c r="B38" s="156"/>
      <c r="C38" s="19"/>
      <c r="D38" s="17"/>
      <c r="E38" s="10"/>
      <c r="F38" s="32"/>
      <c r="G38" s="10"/>
      <c r="H38" s="90"/>
      <c r="I38" s="90"/>
      <c r="J38" s="118"/>
    </row>
    <row r="39" spans="2:10">
      <c r="B39" s="156" t="s">
        <v>1089</v>
      </c>
      <c r="C39" s="19" t="s">
        <v>955</v>
      </c>
      <c r="D39" s="17" t="s">
        <v>1586</v>
      </c>
      <c r="E39" s="10">
        <v>44203</v>
      </c>
      <c r="F39" s="32">
        <v>129690.8</v>
      </c>
      <c r="G39" s="10">
        <v>44203</v>
      </c>
      <c r="H39" s="32">
        <v>129690.8</v>
      </c>
      <c r="I39" s="90">
        <f>+F39-H39</f>
        <v>0</v>
      </c>
      <c r="J39" s="118" t="s">
        <v>1572</v>
      </c>
    </row>
    <row r="40" spans="2:10">
      <c r="B40" s="156"/>
      <c r="C40" s="19"/>
      <c r="D40" s="17"/>
      <c r="E40" s="10"/>
      <c r="F40" s="32"/>
      <c r="G40" s="10"/>
      <c r="H40" s="32"/>
      <c r="I40" s="90"/>
      <c r="J40" s="118"/>
    </row>
    <row r="41" spans="2:10">
      <c r="B41" s="156" t="s">
        <v>1108</v>
      </c>
      <c r="C41" s="19" t="s">
        <v>1374</v>
      </c>
      <c r="D41" s="17" t="s">
        <v>1587</v>
      </c>
      <c r="E41" s="10" t="s">
        <v>1588</v>
      </c>
      <c r="F41" s="32">
        <v>39000.01</v>
      </c>
      <c r="G41" s="10" t="s">
        <v>1588</v>
      </c>
      <c r="H41" s="32">
        <v>39000.01</v>
      </c>
      <c r="I41" s="90">
        <f>+F41-H41</f>
        <v>0</v>
      </c>
      <c r="J41" s="118" t="s">
        <v>1572</v>
      </c>
    </row>
    <row r="42" spans="2:10">
      <c r="B42" s="156"/>
      <c r="C42" s="19"/>
      <c r="D42" s="17"/>
      <c r="E42" s="10"/>
      <c r="F42" s="32"/>
      <c r="G42" s="10"/>
      <c r="H42" s="32"/>
      <c r="I42" s="90"/>
      <c r="J42" s="118"/>
    </row>
    <row r="43" spans="2:10">
      <c r="B43" s="156" t="s">
        <v>1100</v>
      </c>
      <c r="C43" s="19" t="s">
        <v>120</v>
      </c>
      <c r="D43" s="17" t="s">
        <v>934</v>
      </c>
      <c r="E43" s="10">
        <v>44203</v>
      </c>
      <c r="F43" s="32">
        <v>304912</v>
      </c>
      <c r="G43" s="10">
        <v>44203</v>
      </c>
      <c r="H43" s="32">
        <v>304912</v>
      </c>
      <c r="I43" s="90">
        <f>+F43-H43</f>
        <v>0</v>
      </c>
      <c r="J43" s="118" t="s">
        <v>1572</v>
      </c>
    </row>
    <row r="44" spans="2:10">
      <c r="B44" s="156"/>
      <c r="C44" s="19"/>
      <c r="D44" s="17"/>
      <c r="E44" s="10"/>
      <c r="F44" s="32"/>
      <c r="G44" s="10"/>
      <c r="H44" s="32"/>
      <c r="I44" s="90"/>
      <c r="J44" s="118"/>
    </row>
    <row r="45" spans="2:10">
      <c r="B45" s="156" t="s">
        <v>1114</v>
      </c>
      <c r="C45" s="19" t="s">
        <v>1585</v>
      </c>
      <c r="D45" s="17" t="s">
        <v>1589</v>
      </c>
      <c r="E45" s="10">
        <v>44203</v>
      </c>
      <c r="F45" s="32">
        <v>119888</v>
      </c>
      <c r="G45" s="10">
        <v>44203</v>
      </c>
      <c r="H45" s="32">
        <v>119888</v>
      </c>
      <c r="I45" s="90">
        <f>+F45-H45</f>
        <v>0</v>
      </c>
      <c r="J45" s="118" t="s">
        <v>1572</v>
      </c>
    </row>
    <row r="46" spans="2:10">
      <c r="B46" s="156"/>
      <c r="C46" s="19"/>
      <c r="D46" s="17"/>
      <c r="E46" s="10"/>
      <c r="F46" s="32"/>
      <c r="G46" s="10"/>
      <c r="H46" s="32"/>
      <c r="I46" s="90"/>
      <c r="J46" s="118"/>
    </row>
    <row r="47" spans="2:10">
      <c r="B47" s="156" t="s">
        <v>1131</v>
      </c>
      <c r="C47" s="19" t="s">
        <v>164</v>
      </c>
      <c r="D47" s="17" t="s">
        <v>1590</v>
      </c>
      <c r="E47" s="10">
        <v>44475</v>
      </c>
      <c r="F47" s="32">
        <v>464700</v>
      </c>
      <c r="G47" s="10">
        <v>44475</v>
      </c>
      <c r="H47" s="32">
        <v>464700</v>
      </c>
      <c r="I47" s="90">
        <f>+F47-H47</f>
        <v>0</v>
      </c>
      <c r="J47" s="118" t="s">
        <v>1572</v>
      </c>
    </row>
    <row r="48" spans="2:10">
      <c r="B48" s="156" t="s">
        <v>1131</v>
      </c>
      <c r="C48" s="19" t="s">
        <v>164</v>
      </c>
      <c r="D48" s="17" t="s">
        <v>1591</v>
      </c>
      <c r="E48" s="10">
        <v>44202</v>
      </c>
      <c r="F48" s="32">
        <v>464700</v>
      </c>
      <c r="G48" s="10">
        <v>44202</v>
      </c>
      <c r="H48" s="32">
        <v>464700</v>
      </c>
      <c r="I48" s="90">
        <f>+F48-H48</f>
        <v>0</v>
      </c>
      <c r="J48" s="118" t="s">
        <v>1572</v>
      </c>
    </row>
    <row r="49" spans="2:10">
      <c r="B49" s="156"/>
      <c r="C49" s="19"/>
      <c r="D49" s="17"/>
      <c r="E49" s="10"/>
      <c r="F49" s="32"/>
      <c r="G49" s="10"/>
      <c r="H49" s="32"/>
      <c r="I49" s="90"/>
      <c r="J49" s="118"/>
    </row>
    <row r="50" spans="2:10">
      <c r="B50" s="156" t="s">
        <v>1096</v>
      </c>
      <c r="C50" s="19" t="s">
        <v>164</v>
      </c>
      <c r="D50" s="17" t="s">
        <v>1594</v>
      </c>
      <c r="E50" s="10" t="s">
        <v>1595</v>
      </c>
      <c r="F50" s="32">
        <v>543300</v>
      </c>
      <c r="G50" s="10" t="s">
        <v>1595</v>
      </c>
      <c r="H50" s="32">
        <v>543300</v>
      </c>
      <c r="I50" s="90">
        <f>+F50-H50</f>
        <v>0</v>
      </c>
      <c r="J50" s="118" t="s">
        <v>1572</v>
      </c>
    </row>
    <row r="51" spans="2:10">
      <c r="B51" s="156" t="s">
        <v>1096</v>
      </c>
      <c r="C51" s="19" t="s">
        <v>164</v>
      </c>
      <c r="D51" s="17" t="s">
        <v>1597</v>
      </c>
      <c r="E51" s="10">
        <v>44353</v>
      </c>
      <c r="F51" s="32">
        <v>214372.93</v>
      </c>
      <c r="G51" s="10">
        <v>44353</v>
      </c>
      <c r="H51" s="32">
        <v>214372.93</v>
      </c>
      <c r="I51" s="90">
        <f>+F51-H51</f>
        <v>0</v>
      </c>
      <c r="J51" s="118" t="s">
        <v>1572</v>
      </c>
    </row>
    <row r="52" spans="2:10">
      <c r="B52" s="156" t="s">
        <v>1096</v>
      </c>
      <c r="C52" s="19" t="s">
        <v>164</v>
      </c>
      <c r="D52" s="17" t="s">
        <v>1596</v>
      </c>
      <c r="E52" s="10">
        <v>44445</v>
      </c>
      <c r="F52" s="32">
        <v>174000</v>
      </c>
      <c r="G52" s="10">
        <v>44445</v>
      </c>
      <c r="H52" s="32">
        <v>174000</v>
      </c>
      <c r="I52" s="90">
        <f>+F52-H52</f>
        <v>0</v>
      </c>
      <c r="J52" s="118" t="s">
        <v>1572</v>
      </c>
    </row>
    <row r="53" spans="2:10">
      <c r="B53" s="156" t="s">
        <v>1096</v>
      </c>
      <c r="C53" s="19" t="s">
        <v>164</v>
      </c>
      <c r="D53" s="17" t="s">
        <v>1592</v>
      </c>
      <c r="E53" s="10" t="s">
        <v>942</v>
      </c>
      <c r="F53" s="32">
        <v>554700</v>
      </c>
      <c r="G53" s="10" t="s">
        <v>942</v>
      </c>
      <c r="H53" s="32">
        <v>554700</v>
      </c>
      <c r="I53" s="90">
        <f>+F53-H53</f>
        <v>0</v>
      </c>
      <c r="J53" s="118" t="s">
        <v>1572</v>
      </c>
    </row>
    <row r="54" spans="2:10">
      <c r="B54" s="156" t="s">
        <v>1096</v>
      </c>
      <c r="C54" s="19" t="s">
        <v>164</v>
      </c>
      <c r="D54" s="17" t="s">
        <v>1593</v>
      </c>
      <c r="E54" s="10">
        <v>44203</v>
      </c>
      <c r="F54" s="32">
        <v>246568</v>
      </c>
      <c r="G54" s="10">
        <v>44203</v>
      </c>
      <c r="H54" s="32">
        <v>246568</v>
      </c>
      <c r="I54" s="90">
        <f>+F54-H54</f>
        <v>0</v>
      </c>
      <c r="J54" s="118" t="s">
        <v>1572</v>
      </c>
    </row>
    <row r="55" spans="2:10">
      <c r="B55" s="156"/>
      <c r="C55" s="19"/>
      <c r="D55" s="17"/>
      <c r="E55" s="10"/>
      <c r="F55" s="32"/>
      <c r="G55" s="10"/>
      <c r="H55" s="32"/>
      <c r="I55" s="90"/>
      <c r="J55" s="118"/>
    </row>
    <row r="56" spans="2:10">
      <c r="B56" s="156" t="s">
        <v>1160</v>
      </c>
      <c r="C56" s="19" t="s">
        <v>102</v>
      </c>
      <c r="D56" s="17" t="s">
        <v>1549</v>
      </c>
      <c r="E56" s="10">
        <v>44202</v>
      </c>
      <c r="F56" s="32">
        <v>23600</v>
      </c>
      <c r="G56" s="10">
        <v>44202</v>
      </c>
      <c r="H56" s="32">
        <v>23600</v>
      </c>
      <c r="I56" s="90">
        <f>+F56-H56</f>
        <v>0</v>
      </c>
      <c r="J56" s="118" t="s">
        <v>1572</v>
      </c>
    </row>
    <row r="57" spans="2:10">
      <c r="B57" s="156"/>
      <c r="C57" s="19"/>
      <c r="D57" s="17"/>
      <c r="E57" s="10"/>
      <c r="F57" s="32"/>
      <c r="G57" s="10"/>
      <c r="H57" s="32"/>
      <c r="I57" s="90"/>
      <c r="J57" s="118"/>
    </row>
    <row r="58" spans="2:10">
      <c r="B58" s="156" t="s">
        <v>1171</v>
      </c>
      <c r="C58" s="19" t="s">
        <v>102</v>
      </c>
      <c r="D58" s="17" t="s">
        <v>1598</v>
      </c>
      <c r="E58" s="10">
        <v>44203</v>
      </c>
      <c r="F58" s="32">
        <v>35400</v>
      </c>
      <c r="G58" s="10">
        <v>44203</v>
      </c>
      <c r="H58" s="32">
        <v>35400</v>
      </c>
      <c r="I58" s="90">
        <f>+F58-H58</f>
        <v>0</v>
      </c>
      <c r="J58" s="118" t="s">
        <v>1572</v>
      </c>
    </row>
    <row r="59" spans="2:10">
      <c r="B59" s="156"/>
      <c r="C59" s="19"/>
      <c r="D59" s="17"/>
      <c r="E59" s="10"/>
      <c r="F59" s="32"/>
      <c r="G59" s="10"/>
      <c r="H59" s="32"/>
      <c r="I59" s="90"/>
      <c r="J59" s="118"/>
    </row>
    <row r="60" spans="2:10">
      <c r="B60" s="156" t="s">
        <v>1161</v>
      </c>
      <c r="C60" s="19" t="s">
        <v>102</v>
      </c>
      <c r="D60" s="17" t="s">
        <v>1481</v>
      </c>
      <c r="E60" s="10">
        <v>44202</v>
      </c>
      <c r="F60" s="32">
        <v>35400</v>
      </c>
      <c r="G60" s="10">
        <v>44202</v>
      </c>
      <c r="H60" s="32">
        <v>35400</v>
      </c>
      <c r="I60" s="90">
        <f>+F60-H60</f>
        <v>0</v>
      </c>
      <c r="J60" s="118" t="s">
        <v>1572</v>
      </c>
    </row>
    <row r="61" spans="2:10">
      <c r="B61" s="156"/>
      <c r="C61" s="19"/>
      <c r="D61" s="17"/>
      <c r="E61" s="10"/>
      <c r="F61" s="32"/>
      <c r="G61" s="10"/>
      <c r="H61" s="32"/>
      <c r="I61" s="90"/>
      <c r="J61" s="118"/>
    </row>
    <row r="62" spans="2:10">
      <c r="B62" s="156" t="s">
        <v>1162</v>
      </c>
      <c r="C62" s="19" t="s">
        <v>102</v>
      </c>
      <c r="D62" s="17" t="s">
        <v>1599</v>
      </c>
      <c r="E62" s="10">
        <v>44203</v>
      </c>
      <c r="F62" s="32">
        <v>35400</v>
      </c>
      <c r="G62" s="10">
        <v>44203</v>
      </c>
      <c r="H62" s="32">
        <v>35400</v>
      </c>
      <c r="I62" s="90">
        <f>+F62-H62</f>
        <v>0</v>
      </c>
      <c r="J62" s="118" t="s">
        <v>1572</v>
      </c>
    </row>
    <row r="63" spans="2:10">
      <c r="B63" s="156"/>
      <c r="C63" s="19"/>
      <c r="D63" s="17"/>
      <c r="E63" s="10"/>
      <c r="F63" s="32"/>
      <c r="G63" s="10"/>
      <c r="H63" s="32"/>
      <c r="I63" s="90"/>
      <c r="J63" s="118"/>
    </row>
    <row r="64" spans="2:10">
      <c r="B64" s="156" t="s">
        <v>1142</v>
      </c>
      <c r="C64" s="19" t="s">
        <v>102</v>
      </c>
      <c r="D64" s="17" t="s">
        <v>1600</v>
      </c>
      <c r="E64" s="10">
        <v>44292</v>
      </c>
      <c r="F64" s="32">
        <v>17700</v>
      </c>
      <c r="G64" s="10">
        <v>44292</v>
      </c>
      <c r="H64" s="32">
        <v>17700</v>
      </c>
      <c r="I64" s="90">
        <f>+F64-H64</f>
        <v>0</v>
      </c>
      <c r="J64" s="118" t="s">
        <v>1572</v>
      </c>
    </row>
    <row r="65" spans="2:10">
      <c r="B65" s="156"/>
      <c r="C65" s="19"/>
      <c r="D65" s="17"/>
      <c r="E65" s="10"/>
      <c r="F65" s="32"/>
      <c r="G65" s="10"/>
      <c r="H65" s="32"/>
      <c r="I65" s="90"/>
      <c r="J65" s="118"/>
    </row>
    <row r="66" spans="2:10">
      <c r="B66" s="156" t="s">
        <v>1147</v>
      </c>
      <c r="C66" s="19" t="s">
        <v>102</v>
      </c>
      <c r="D66" s="17" t="s">
        <v>1511</v>
      </c>
      <c r="E66" s="10">
        <v>44203</v>
      </c>
      <c r="F66" s="32">
        <v>35400</v>
      </c>
      <c r="G66" s="10">
        <v>44203</v>
      </c>
      <c r="H66" s="32">
        <v>35400</v>
      </c>
      <c r="I66" s="90">
        <f>+F66-H66</f>
        <v>0</v>
      </c>
      <c r="J66" s="118" t="s">
        <v>1572</v>
      </c>
    </row>
    <row r="67" spans="2:10">
      <c r="B67" s="156"/>
      <c r="C67" s="19"/>
      <c r="D67" s="17"/>
      <c r="E67" s="10"/>
      <c r="F67" s="32"/>
      <c r="G67" s="10"/>
      <c r="H67" s="32"/>
      <c r="I67" s="90"/>
      <c r="J67" s="118"/>
    </row>
    <row r="68" spans="2:10">
      <c r="B68" s="156" t="s">
        <v>1163</v>
      </c>
      <c r="C68" s="19" t="s">
        <v>102</v>
      </c>
      <c r="D68" s="17" t="s">
        <v>1601</v>
      </c>
      <c r="E68" s="10">
        <v>44506</v>
      </c>
      <c r="F68" s="32">
        <v>35400</v>
      </c>
      <c r="G68" s="10">
        <v>44506</v>
      </c>
      <c r="H68" s="32">
        <v>35400</v>
      </c>
      <c r="I68" s="90">
        <f>+F68-H68</f>
        <v>0</v>
      </c>
      <c r="J68" s="118" t="s">
        <v>1572</v>
      </c>
    </row>
    <row r="69" spans="2:10">
      <c r="B69" s="156"/>
      <c r="C69" s="19"/>
      <c r="D69" s="17"/>
      <c r="E69" s="10"/>
      <c r="F69" s="32"/>
      <c r="G69" s="10"/>
      <c r="H69" s="32"/>
      <c r="I69" s="90"/>
      <c r="J69" s="118"/>
    </row>
    <row r="70" spans="2:10">
      <c r="B70" s="156" t="s">
        <v>1153</v>
      </c>
      <c r="C70" s="19" t="s">
        <v>102</v>
      </c>
      <c r="D70" s="17" t="s">
        <v>1602</v>
      </c>
      <c r="E70" s="10" t="s">
        <v>1471</v>
      </c>
      <c r="F70" s="32">
        <v>47200</v>
      </c>
      <c r="G70" s="10" t="s">
        <v>1471</v>
      </c>
      <c r="H70" s="32">
        <v>47200</v>
      </c>
      <c r="I70" s="90">
        <f>+F70-H70</f>
        <v>0</v>
      </c>
      <c r="J70" s="118" t="s">
        <v>1572</v>
      </c>
    </row>
    <row r="71" spans="2:10">
      <c r="B71" s="156"/>
      <c r="C71" s="19"/>
      <c r="D71" s="17"/>
      <c r="E71" s="10"/>
      <c r="F71" s="32"/>
      <c r="G71" s="10"/>
      <c r="H71" s="32"/>
      <c r="I71" s="90"/>
      <c r="J71" s="118"/>
    </row>
    <row r="72" spans="2:10">
      <c r="B72" s="156" t="s">
        <v>1112</v>
      </c>
      <c r="C72" s="19" t="s">
        <v>1374</v>
      </c>
      <c r="D72" s="17" t="s">
        <v>1603</v>
      </c>
      <c r="E72" s="10">
        <v>44203</v>
      </c>
      <c r="F72" s="32">
        <v>120586.74</v>
      </c>
      <c r="G72" s="10">
        <v>44203</v>
      </c>
      <c r="H72" s="32">
        <v>120586.74</v>
      </c>
      <c r="I72" s="90">
        <f>+F72-H72</f>
        <v>0</v>
      </c>
      <c r="J72" s="118" t="s">
        <v>1572</v>
      </c>
    </row>
    <row r="73" spans="2:10">
      <c r="B73" s="156" t="s">
        <v>1112</v>
      </c>
      <c r="C73" s="19" t="s">
        <v>1374</v>
      </c>
      <c r="D73" s="17" t="s">
        <v>1604</v>
      </c>
      <c r="E73" s="10">
        <v>44203</v>
      </c>
      <c r="F73" s="32">
        <v>99449.57</v>
      </c>
      <c r="G73" s="10">
        <v>44203</v>
      </c>
      <c r="H73" s="32">
        <v>99449.57</v>
      </c>
      <c r="I73" s="90">
        <f>+F73-H73</f>
        <v>0</v>
      </c>
      <c r="J73" s="118" t="s">
        <v>1572</v>
      </c>
    </row>
    <row r="74" spans="2:10">
      <c r="B74" s="156"/>
      <c r="C74" s="19"/>
      <c r="D74" s="17"/>
      <c r="E74" s="10"/>
      <c r="F74" s="32"/>
      <c r="G74" s="10"/>
      <c r="H74" s="32"/>
      <c r="I74" s="90"/>
      <c r="J74" s="118"/>
    </row>
    <row r="75" spans="2:10">
      <c r="B75" s="156" t="s">
        <v>1114</v>
      </c>
      <c r="C75" s="19" t="s">
        <v>705</v>
      </c>
      <c r="D75" s="17" t="s">
        <v>1605</v>
      </c>
      <c r="E75" s="10">
        <v>44203</v>
      </c>
      <c r="F75" s="32">
        <v>131079.12</v>
      </c>
      <c r="G75" s="10">
        <v>44203</v>
      </c>
      <c r="H75" s="32">
        <v>131079.12</v>
      </c>
      <c r="I75" s="90">
        <f>+F75-H75</f>
        <v>0</v>
      </c>
      <c r="J75" s="118" t="s">
        <v>1572</v>
      </c>
    </row>
    <row r="76" spans="2:10">
      <c r="B76" s="156"/>
      <c r="C76" s="19"/>
      <c r="D76" s="17"/>
      <c r="E76" s="10"/>
      <c r="F76" s="32"/>
      <c r="G76" s="10"/>
      <c r="H76" s="32"/>
      <c r="I76" s="90"/>
      <c r="J76" s="118"/>
    </row>
    <row r="77" spans="2:10">
      <c r="B77" s="156" t="s">
        <v>1148</v>
      </c>
      <c r="C77" s="19" t="s">
        <v>102</v>
      </c>
      <c r="D77" s="17" t="s">
        <v>1606</v>
      </c>
      <c r="E77" s="10">
        <v>44203</v>
      </c>
      <c r="F77" s="32">
        <v>35400</v>
      </c>
      <c r="G77" s="10">
        <v>44203</v>
      </c>
      <c r="H77" s="32">
        <v>35400</v>
      </c>
      <c r="I77" s="90">
        <f>+F77-H77</f>
        <v>0</v>
      </c>
      <c r="J77" s="118" t="s">
        <v>1572</v>
      </c>
    </row>
    <row r="78" spans="2:10">
      <c r="B78" s="156" t="s">
        <v>1152</v>
      </c>
      <c r="C78" s="19" t="s">
        <v>102</v>
      </c>
      <c r="D78" s="17" t="s">
        <v>1607</v>
      </c>
      <c r="E78" s="10">
        <v>44200</v>
      </c>
      <c r="F78" s="32">
        <v>59000</v>
      </c>
      <c r="G78" s="10">
        <v>44200</v>
      </c>
      <c r="H78" s="32">
        <v>59000</v>
      </c>
      <c r="I78" s="90">
        <f>+F78-H78</f>
        <v>0</v>
      </c>
      <c r="J78" s="118" t="s">
        <v>1572</v>
      </c>
    </row>
    <row r="79" spans="2:10">
      <c r="B79" s="156" t="s">
        <v>1164</v>
      </c>
      <c r="C79" s="19" t="s">
        <v>102</v>
      </c>
      <c r="D79" s="17" t="s">
        <v>1608</v>
      </c>
      <c r="E79" s="10">
        <v>44203</v>
      </c>
      <c r="F79" s="32">
        <v>35400</v>
      </c>
      <c r="G79" s="10">
        <v>44203</v>
      </c>
      <c r="H79" s="32">
        <v>35400</v>
      </c>
      <c r="I79" s="90">
        <f>+F79-H79</f>
        <v>0</v>
      </c>
      <c r="J79" s="118" t="s">
        <v>1572</v>
      </c>
    </row>
    <row r="80" spans="2:10">
      <c r="B80" s="156"/>
      <c r="C80" s="19"/>
      <c r="D80" s="17"/>
      <c r="E80" s="10"/>
      <c r="F80" s="32"/>
      <c r="G80" s="10"/>
      <c r="H80" s="32"/>
      <c r="I80" s="90"/>
      <c r="J80" s="118"/>
    </row>
    <row r="81" spans="2:10">
      <c r="B81" s="156" t="s">
        <v>1165</v>
      </c>
      <c r="C81" s="19" t="s">
        <v>102</v>
      </c>
      <c r="D81" s="17" t="s">
        <v>1609</v>
      </c>
      <c r="E81" s="10">
        <v>44202</v>
      </c>
      <c r="F81" s="32">
        <v>35400</v>
      </c>
      <c r="G81" s="10">
        <v>44202</v>
      </c>
      <c r="H81" s="32">
        <v>35400</v>
      </c>
      <c r="I81" s="90">
        <f>+F81-H81</f>
        <v>0</v>
      </c>
      <c r="J81" s="118" t="s">
        <v>1572</v>
      </c>
    </row>
    <row r="82" spans="2:10">
      <c r="B82" s="156"/>
      <c r="C82" s="19"/>
      <c r="D82" s="17"/>
      <c r="E82" s="10"/>
      <c r="F82" s="32"/>
      <c r="G82" s="10"/>
      <c r="H82" s="32"/>
      <c r="I82" s="90"/>
      <c r="J82" s="118"/>
    </row>
    <row r="83" spans="2:10">
      <c r="B83" s="156" t="s">
        <v>1155</v>
      </c>
      <c r="C83" s="19" t="s">
        <v>705</v>
      </c>
      <c r="D83" s="17" t="s">
        <v>1610</v>
      </c>
      <c r="E83" s="10">
        <v>44384</v>
      </c>
      <c r="F83" s="32">
        <v>68730.25</v>
      </c>
      <c r="G83" s="10">
        <v>44384</v>
      </c>
      <c r="H83" s="32">
        <v>68730.25</v>
      </c>
      <c r="I83" s="90">
        <f>+F83-H83</f>
        <v>0</v>
      </c>
      <c r="J83" s="118" t="s">
        <v>1572</v>
      </c>
    </row>
    <row r="84" spans="2:10">
      <c r="B84" s="156"/>
      <c r="C84" s="19"/>
      <c r="D84" s="17"/>
      <c r="E84" s="10"/>
      <c r="F84" s="32"/>
      <c r="G84" s="10"/>
      <c r="H84" s="32"/>
      <c r="I84" s="90"/>
      <c r="J84" s="118"/>
    </row>
    <row r="85" spans="2:10">
      <c r="B85" s="156" t="s">
        <v>1151</v>
      </c>
      <c r="C85" s="19" t="s">
        <v>102</v>
      </c>
      <c r="D85" s="17" t="s">
        <v>1611</v>
      </c>
      <c r="E85" s="10">
        <v>44203</v>
      </c>
      <c r="F85" s="32">
        <v>35400</v>
      </c>
      <c r="G85" s="10">
        <v>44203</v>
      </c>
      <c r="H85" s="32">
        <v>35400</v>
      </c>
      <c r="I85" s="90">
        <f>+F85-H85</f>
        <v>0</v>
      </c>
      <c r="J85" s="118" t="s">
        <v>1572</v>
      </c>
    </row>
    <row r="86" spans="2:10">
      <c r="B86" s="156" t="s">
        <v>1151</v>
      </c>
      <c r="C86" s="19" t="s">
        <v>102</v>
      </c>
      <c r="D86" s="17" t="s">
        <v>1612</v>
      </c>
      <c r="E86" s="10">
        <v>44203</v>
      </c>
      <c r="F86" s="32">
        <v>35400</v>
      </c>
      <c r="G86" s="10">
        <v>44203</v>
      </c>
      <c r="H86" s="32">
        <v>35400</v>
      </c>
      <c r="I86" s="90">
        <f>+F86-H86</f>
        <v>0</v>
      </c>
      <c r="J86" s="118" t="s">
        <v>1572</v>
      </c>
    </row>
    <row r="87" spans="2:10">
      <c r="B87" s="156" t="s">
        <v>1151</v>
      </c>
      <c r="C87" s="19" t="s">
        <v>102</v>
      </c>
      <c r="D87" s="17" t="s">
        <v>1613</v>
      </c>
      <c r="E87" s="10">
        <v>44203</v>
      </c>
      <c r="F87" s="32">
        <v>35400</v>
      </c>
      <c r="G87" s="10">
        <v>44203</v>
      </c>
      <c r="H87" s="32">
        <v>35400</v>
      </c>
      <c r="I87" s="90">
        <f>+F87-H87</f>
        <v>0</v>
      </c>
      <c r="J87" s="118" t="s">
        <v>1572</v>
      </c>
    </row>
    <row r="88" spans="2:10">
      <c r="B88" s="156" t="s">
        <v>1151</v>
      </c>
      <c r="C88" s="19" t="s">
        <v>102</v>
      </c>
      <c r="D88" s="17" t="s">
        <v>1614</v>
      </c>
      <c r="E88" s="10">
        <v>44203</v>
      </c>
      <c r="F88" s="32">
        <v>35400</v>
      </c>
      <c r="G88" s="10">
        <v>44203</v>
      </c>
      <c r="H88" s="32">
        <v>35400</v>
      </c>
      <c r="I88" s="90">
        <f>+F88-H88</f>
        <v>0</v>
      </c>
      <c r="J88" s="118" t="s">
        <v>1572</v>
      </c>
    </row>
    <row r="89" spans="2:10">
      <c r="B89" s="156"/>
      <c r="C89" s="19"/>
      <c r="D89" s="17"/>
      <c r="E89" s="10"/>
      <c r="F89" s="32"/>
      <c r="G89" s="10"/>
      <c r="H89" s="32"/>
      <c r="I89" s="90"/>
      <c r="J89" s="118"/>
    </row>
    <row r="90" spans="2:10">
      <c r="B90" s="156" t="s">
        <v>1112</v>
      </c>
      <c r="C90" s="19" t="s">
        <v>1374</v>
      </c>
      <c r="D90" s="17" t="s">
        <v>1615</v>
      </c>
      <c r="E90" s="10">
        <v>44203</v>
      </c>
      <c r="F90" s="32">
        <v>123878.41</v>
      </c>
      <c r="G90" s="10">
        <v>44203</v>
      </c>
      <c r="H90" s="32">
        <v>123878.41</v>
      </c>
      <c r="I90" s="90">
        <f>+F90-H90</f>
        <v>0</v>
      </c>
      <c r="J90" s="118" t="s">
        <v>1572</v>
      </c>
    </row>
    <row r="91" spans="2:10">
      <c r="B91" s="156" t="s">
        <v>1112</v>
      </c>
      <c r="C91" s="19" t="s">
        <v>1374</v>
      </c>
      <c r="D91" s="17" t="s">
        <v>1616</v>
      </c>
      <c r="E91" s="10" t="s">
        <v>1617</v>
      </c>
      <c r="F91" s="32">
        <v>107456.35</v>
      </c>
      <c r="G91" s="10" t="s">
        <v>1617</v>
      </c>
      <c r="H91" s="32">
        <v>107456.35</v>
      </c>
      <c r="I91" s="90">
        <f>+F91-H91</f>
        <v>0</v>
      </c>
      <c r="J91" s="118" t="s">
        <v>1572</v>
      </c>
    </row>
    <row r="92" spans="2:10">
      <c r="B92" s="156"/>
      <c r="C92" s="19"/>
      <c r="D92" s="17"/>
      <c r="E92" s="10"/>
      <c r="F92" s="32"/>
      <c r="G92" s="10"/>
      <c r="H92" s="32"/>
      <c r="I92" s="90"/>
      <c r="J92" s="118"/>
    </row>
    <row r="93" spans="2:10">
      <c r="B93" s="156" t="s">
        <v>1087</v>
      </c>
      <c r="C93" s="19" t="s">
        <v>705</v>
      </c>
      <c r="D93" s="17" t="s">
        <v>1618</v>
      </c>
      <c r="E93" s="10" t="s">
        <v>1457</v>
      </c>
      <c r="F93" s="32">
        <v>116076.6</v>
      </c>
      <c r="G93" s="10" t="s">
        <v>1457</v>
      </c>
      <c r="H93" s="32">
        <v>116076.6</v>
      </c>
      <c r="I93" s="90">
        <f>+F93-H93</f>
        <v>0</v>
      </c>
      <c r="J93" s="118" t="s">
        <v>1572</v>
      </c>
    </row>
    <row r="94" spans="2:10">
      <c r="B94" s="156" t="s">
        <v>1087</v>
      </c>
      <c r="C94" s="19" t="s">
        <v>705</v>
      </c>
      <c r="D94" s="17" t="s">
        <v>1619</v>
      </c>
      <c r="E94" s="10" t="s">
        <v>1624</v>
      </c>
      <c r="F94" s="32">
        <v>129056.6</v>
      </c>
      <c r="G94" s="10" t="s">
        <v>1624</v>
      </c>
      <c r="H94" s="32">
        <v>129056.6</v>
      </c>
      <c r="I94" s="90">
        <f>+F94-H94</f>
        <v>0</v>
      </c>
      <c r="J94" s="118" t="s">
        <v>1572</v>
      </c>
    </row>
    <row r="95" spans="2:10">
      <c r="B95" s="156" t="s">
        <v>1087</v>
      </c>
      <c r="C95" s="19" t="s">
        <v>705</v>
      </c>
      <c r="D95" s="17" t="s">
        <v>1620</v>
      </c>
      <c r="E95" s="10" t="s">
        <v>1623</v>
      </c>
      <c r="F95" s="32">
        <v>126850</v>
      </c>
      <c r="G95" s="10" t="s">
        <v>1623</v>
      </c>
      <c r="H95" s="32">
        <v>126850</v>
      </c>
      <c r="I95" s="90">
        <f>+F95-H95</f>
        <v>0</v>
      </c>
      <c r="J95" s="118" t="s">
        <v>1572</v>
      </c>
    </row>
    <row r="96" spans="2:10">
      <c r="B96" s="156" t="s">
        <v>1085</v>
      </c>
      <c r="C96" s="19" t="s">
        <v>705</v>
      </c>
      <c r="D96" s="17" t="s">
        <v>1621</v>
      </c>
      <c r="E96" s="10" t="s">
        <v>1460</v>
      </c>
      <c r="F96" s="32">
        <v>128915</v>
      </c>
      <c r="G96" s="10" t="s">
        <v>1460</v>
      </c>
      <c r="H96" s="32">
        <v>128915</v>
      </c>
      <c r="I96" s="90">
        <f>+F96-H96</f>
        <v>0</v>
      </c>
      <c r="J96" s="118" t="s">
        <v>1572</v>
      </c>
    </row>
    <row r="97" spans="2:10">
      <c r="B97" s="156" t="s">
        <v>1085</v>
      </c>
      <c r="C97" s="19" t="s">
        <v>705</v>
      </c>
      <c r="D97" s="17" t="s">
        <v>1622</v>
      </c>
      <c r="E97" s="10" t="s">
        <v>1460</v>
      </c>
      <c r="F97" s="32">
        <v>123015</v>
      </c>
      <c r="G97" s="10" t="s">
        <v>1460</v>
      </c>
      <c r="H97" s="32">
        <v>123015</v>
      </c>
      <c r="I97" s="90">
        <f>+F97-H97</f>
        <v>0</v>
      </c>
      <c r="J97" s="118" t="s">
        <v>1572</v>
      </c>
    </row>
    <row r="98" spans="2:10">
      <c r="B98" s="156"/>
      <c r="C98" s="19"/>
      <c r="D98" s="17"/>
      <c r="E98" s="10"/>
      <c r="F98" s="32"/>
      <c r="G98" s="10"/>
      <c r="H98" s="32"/>
      <c r="I98" s="90"/>
      <c r="J98" s="118"/>
    </row>
    <row r="99" spans="2:10">
      <c r="B99" s="156" t="s">
        <v>1146</v>
      </c>
      <c r="C99" s="19" t="s">
        <v>102</v>
      </c>
      <c r="D99" s="17" t="s">
        <v>1625</v>
      </c>
      <c r="E99" s="10">
        <v>44352</v>
      </c>
      <c r="F99" s="32">
        <v>23600</v>
      </c>
      <c r="G99" s="10">
        <v>44352</v>
      </c>
      <c r="H99" s="32">
        <v>23600</v>
      </c>
      <c r="I99" s="90">
        <f t="shared" ref="I99:I104" si="0">+F99-H99</f>
        <v>0</v>
      </c>
      <c r="J99" s="118" t="s">
        <v>1572</v>
      </c>
    </row>
    <row r="100" spans="2:10">
      <c r="B100" s="156" t="s">
        <v>1146</v>
      </c>
      <c r="C100" s="19" t="s">
        <v>102</v>
      </c>
      <c r="D100" s="17" t="s">
        <v>1626</v>
      </c>
      <c r="E100" s="10">
        <v>44203</v>
      </c>
      <c r="F100" s="32">
        <v>23600</v>
      </c>
      <c r="G100" s="10">
        <v>44203</v>
      </c>
      <c r="H100" s="32">
        <v>23600</v>
      </c>
      <c r="I100" s="90">
        <f t="shared" si="0"/>
        <v>0</v>
      </c>
      <c r="J100" s="118" t="s">
        <v>1572</v>
      </c>
    </row>
    <row r="101" spans="2:10">
      <c r="B101" s="156" t="s">
        <v>1143</v>
      </c>
      <c r="C101" s="19" t="s">
        <v>102</v>
      </c>
      <c r="D101" s="17" t="s">
        <v>1627</v>
      </c>
      <c r="E101" s="10">
        <v>44201</v>
      </c>
      <c r="F101" s="32">
        <v>23600</v>
      </c>
      <c r="G101" s="10">
        <v>44201</v>
      </c>
      <c r="H101" s="32">
        <v>23600</v>
      </c>
      <c r="I101" s="90">
        <f t="shared" si="0"/>
        <v>0</v>
      </c>
      <c r="J101" s="118" t="s">
        <v>1572</v>
      </c>
    </row>
    <row r="102" spans="2:10">
      <c r="B102" s="156" t="s">
        <v>1143</v>
      </c>
      <c r="C102" s="19" t="s">
        <v>102</v>
      </c>
      <c r="D102" s="17" t="s">
        <v>1628</v>
      </c>
      <c r="E102" s="10">
        <v>44201</v>
      </c>
      <c r="F102" s="32">
        <v>23600</v>
      </c>
      <c r="G102" s="10">
        <v>44201</v>
      </c>
      <c r="H102" s="32">
        <v>23600</v>
      </c>
      <c r="I102" s="90">
        <f t="shared" si="0"/>
        <v>0</v>
      </c>
      <c r="J102" s="118" t="s">
        <v>1572</v>
      </c>
    </row>
    <row r="103" spans="2:10">
      <c r="B103" s="156" t="s">
        <v>1143</v>
      </c>
      <c r="C103" s="19" t="s">
        <v>102</v>
      </c>
      <c r="D103" s="17" t="s">
        <v>1629</v>
      </c>
      <c r="E103" s="10">
        <v>44201</v>
      </c>
      <c r="F103" s="32">
        <v>23600</v>
      </c>
      <c r="G103" s="10">
        <v>44201</v>
      </c>
      <c r="H103" s="32">
        <v>23600</v>
      </c>
      <c r="I103" s="90">
        <f t="shared" si="0"/>
        <v>0</v>
      </c>
      <c r="J103" s="118" t="s">
        <v>1572</v>
      </c>
    </row>
    <row r="104" spans="2:10">
      <c r="B104" s="156" t="s">
        <v>1143</v>
      </c>
      <c r="C104" s="19" t="s">
        <v>102</v>
      </c>
      <c r="D104" s="17" t="s">
        <v>1630</v>
      </c>
      <c r="E104" s="10">
        <v>44201</v>
      </c>
      <c r="F104" s="32">
        <v>23600</v>
      </c>
      <c r="G104" s="10">
        <v>44201</v>
      </c>
      <c r="H104" s="32">
        <v>23600</v>
      </c>
      <c r="I104" s="90">
        <f t="shared" si="0"/>
        <v>0</v>
      </c>
      <c r="J104" s="118" t="s">
        <v>1572</v>
      </c>
    </row>
    <row r="105" spans="2:10">
      <c r="B105" s="156"/>
      <c r="C105" s="68"/>
      <c r="D105" s="17"/>
      <c r="E105" s="10"/>
      <c r="F105" s="32"/>
      <c r="G105" s="10"/>
      <c r="H105" s="32"/>
      <c r="I105" s="90"/>
      <c r="J105" s="118"/>
    </row>
    <row r="106" spans="2:10">
      <c r="B106" s="156" t="s">
        <v>1166</v>
      </c>
      <c r="C106" s="19" t="s">
        <v>102</v>
      </c>
      <c r="D106" s="17" t="s">
        <v>1631</v>
      </c>
      <c r="E106" s="10">
        <v>44260</v>
      </c>
      <c r="F106" s="32">
        <v>59000</v>
      </c>
      <c r="G106" s="10">
        <v>44260</v>
      </c>
      <c r="H106" s="32">
        <v>59000</v>
      </c>
      <c r="I106" s="90">
        <f>+F106-H106</f>
        <v>0</v>
      </c>
      <c r="J106" s="118" t="s">
        <v>1572</v>
      </c>
    </row>
    <row r="107" spans="2:10">
      <c r="B107" s="156"/>
      <c r="C107" s="19"/>
      <c r="D107" s="17"/>
      <c r="E107" s="10"/>
      <c r="F107" s="32"/>
      <c r="G107" s="10"/>
      <c r="H107" s="32"/>
      <c r="I107" s="90"/>
      <c r="J107" s="118"/>
    </row>
    <row r="108" spans="2:10">
      <c r="B108" s="156" t="s">
        <v>1149</v>
      </c>
      <c r="C108" s="19" t="s">
        <v>102</v>
      </c>
      <c r="D108" s="17" t="s">
        <v>1632</v>
      </c>
      <c r="E108" s="10">
        <v>44321</v>
      </c>
      <c r="F108" s="32">
        <v>35400</v>
      </c>
      <c r="G108" s="10">
        <v>44321</v>
      </c>
      <c r="H108" s="32">
        <v>35400</v>
      </c>
      <c r="I108" s="90">
        <f t="shared" ref="I108:I113" si="1">+F108-H108</f>
        <v>0</v>
      </c>
      <c r="J108" s="118" t="s">
        <v>1572</v>
      </c>
    </row>
    <row r="109" spans="2:10">
      <c r="B109" s="156" t="s">
        <v>1144</v>
      </c>
      <c r="C109" s="19" t="s">
        <v>102</v>
      </c>
      <c r="D109" s="17" t="s">
        <v>1527</v>
      </c>
      <c r="E109" s="10">
        <v>44534</v>
      </c>
      <c r="F109" s="32">
        <v>23600</v>
      </c>
      <c r="G109" s="10">
        <v>44534</v>
      </c>
      <c r="H109" s="32">
        <v>23600</v>
      </c>
      <c r="I109" s="90">
        <f t="shared" si="1"/>
        <v>0</v>
      </c>
      <c r="J109" s="118" t="s">
        <v>1572</v>
      </c>
    </row>
    <row r="110" spans="2:10">
      <c r="B110" s="156" t="s">
        <v>1149</v>
      </c>
      <c r="C110" s="19" t="s">
        <v>102</v>
      </c>
      <c r="D110" s="17" t="s">
        <v>1633</v>
      </c>
      <c r="E110" s="10">
        <v>44321</v>
      </c>
      <c r="F110" s="32">
        <v>35400</v>
      </c>
      <c r="G110" s="10">
        <v>44321</v>
      </c>
      <c r="H110" s="32">
        <v>35400</v>
      </c>
      <c r="I110" s="90">
        <f t="shared" si="1"/>
        <v>0</v>
      </c>
      <c r="J110" s="118" t="s">
        <v>1572</v>
      </c>
    </row>
    <row r="111" spans="2:10">
      <c r="B111" s="156" t="s">
        <v>1150</v>
      </c>
      <c r="C111" s="19" t="s">
        <v>102</v>
      </c>
      <c r="D111" s="17" t="s">
        <v>1634</v>
      </c>
      <c r="E111" s="10" t="s">
        <v>1637</v>
      </c>
      <c r="F111" s="32">
        <v>35400</v>
      </c>
      <c r="G111" s="10" t="s">
        <v>1637</v>
      </c>
      <c r="H111" s="32">
        <v>35400</v>
      </c>
      <c r="I111" s="90">
        <f t="shared" si="1"/>
        <v>0</v>
      </c>
      <c r="J111" s="118" t="s">
        <v>1572</v>
      </c>
    </row>
    <row r="112" spans="2:10">
      <c r="B112" s="156" t="s">
        <v>1145</v>
      </c>
      <c r="C112" s="19" t="s">
        <v>102</v>
      </c>
      <c r="D112" s="17" t="s">
        <v>1635</v>
      </c>
      <c r="E112" s="10">
        <v>44261</v>
      </c>
      <c r="F112" s="32">
        <v>23600</v>
      </c>
      <c r="G112" s="10">
        <v>44261</v>
      </c>
      <c r="H112" s="32">
        <v>23600</v>
      </c>
      <c r="I112" s="90">
        <f t="shared" si="1"/>
        <v>0</v>
      </c>
      <c r="J112" s="118" t="s">
        <v>1572</v>
      </c>
    </row>
    <row r="113" spans="2:10">
      <c r="B113" s="156" t="s">
        <v>1145</v>
      </c>
      <c r="C113" s="19" t="s">
        <v>102</v>
      </c>
      <c r="D113" s="17" t="s">
        <v>1636</v>
      </c>
      <c r="E113" s="10">
        <v>44202</v>
      </c>
      <c r="F113" s="32">
        <v>23600</v>
      </c>
      <c r="G113" s="10">
        <v>44202</v>
      </c>
      <c r="H113" s="32">
        <v>23600</v>
      </c>
      <c r="I113" s="90">
        <f t="shared" si="1"/>
        <v>0</v>
      </c>
      <c r="J113" s="118" t="s">
        <v>1572</v>
      </c>
    </row>
    <row r="114" spans="2:10">
      <c r="B114" s="156" t="s">
        <v>1324</v>
      </c>
      <c r="C114" s="19" t="s">
        <v>102</v>
      </c>
      <c r="D114" s="17" t="s">
        <v>1638</v>
      </c>
      <c r="E114" s="10">
        <v>44202</v>
      </c>
      <c r="F114" s="32">
        <v>29500</v>
      </c>
      <c r="G114" s="10">
        <v>44202</v>
      </c>
      <c r="H114" s="32">
        <v>29500</v>
      </c>
      <c r="I114" s="90">
        <f>+F114-H114</f>
        <v>0</v>
      </c>
      <c r="J114" s="118" t="s">
        <v>1572</v>
      </c>
    </row>
    <row r="115" spans="2:10">
      <c r="B115" s="156" t="s">
        <v>1144</v>
      </c>
      <c r="C115" s="19" t="s">
        <v>102</v>
      </c>
      <c r="D115" s="17" t="s">
        <v>1639</v>
      </c>
      <c r="E115" s="10">
        <v>44443</v>
      </c>
      <c r="F115" s="32">
        <v>23600</v>
      </c>
      <c r="G115" s="10">
        <v>44443</v>
      </c>
      <c r="H115" s="32">
        <v>23600</v>
      </c>
      <c r="I115" s="90">
        <f>+F115-H115</f>
        <v>0</v>
      </c>
      <c r="J115" s="118" t="s">
        <v>1572</v>
      </c>
    </row>
    <row r="116" spans="2:10">
      <c r="B116" s="156" t="s">
        <v>1133</v>
      </c>
      <c r="C116" s="19" t="s">
        <v>1640</v>
      </c>
      <c r="D116" s="17" t="s">
        <v>1641</v>
      </c>
      <c r="E116" s="10">
        <v>44477</v>
      </c>
      <c r="F116" s="32">
        <v>29205</v>
      </c>
      <c r="G116" s="10">
        <v>44477</v>
      </c>
      <c r="H116" s="32">
        <v>29205</v>
      </c>
      <c r="I116" s="90">
        <f>+F116-H116</f>
        <v>0</v>
      </c>
      <c r="J116" s="118" t="s">
        <v>1572</v>
      </c>
    </row>
    <row r="117" spans="2:10">
      <c r="B117" s="156"/>
      <c r="C117" s="19"/>
      <c r="D117" s="17"/>
      <c r="E117" s="10"/>
      <c r="F117" s="32"/>
      <c r="G117" s="10"/>
      <c r="H117" s="32"/>
      <c r="I117" s="90"/>
      <c r="J117" s="118"/>
    </row>
    <row r="118" spans="2:10">
      <c r="B118" s="156" t="s">
        <v>1146</v>
      </c>
      <c r="C118" s="19" t="s">
        <v>102</v>
      </c>
      <c r="D118" s="17" t="s">
        <v>1642</v>
      </c>
      <c r="E118" s="10">
        <v>44352</v>
      </c>
      <c r="F118" s="32">
        <v>23600</v>
      </c>
      <c r="G118" s="10">
        <v>44352</v>
      </c>
      <c r="H118" s="32">
        <v>23600</v>
      </c>
      <c r="I118" s="90">
        <f>+F118-H118</f>
        <v>0</v>
      </c>
      <c r="J118" s="118" t="s">
        <v>1572</v>
      </c>
    </row>
    <row r="119" spans="2:10">
      <c r="B119" s="156" t="s">
        <v>1191</v>
      </c>
      <c r="C119" s="19" t="s">
        <v>102</v>
      </c>
      <c r="D119" s="17" t="s">
        <v>1618</v>
      </c>
      <c r="E119" s="10">
        <v>44201</v>
      </c>
      <c r="F119" s="32">
        <v>47200</v>
      </c>
      <c r="G119" s="10">
        <v>44201</v>
      </c>
      <c r="H119" s="32">
        <v>47200</v>
      </c>
      <c r="I119" s="90">
        <f>+F119-H119</f>
        <v>0</v>
      </c>
      <c r="J119" s="118" t="s">
        <v>1572</v>
      </c>
    </row>
    <row r="120" spans="2:10">
      <c r="B120" s="156" t="s">
        <v>1191</v>
      </c>
      <c r="C120" s="19" t="s">
        <v>102</v>
      </c>
      <c r="D120" s="17" t="s">
        <v>1643</v>
      </c>
      <c r="E120" s="10">
        <v>44201</v>
      </c>
      <c r="F120" s="32">
        <v>47200</v>
      </c>
      <c r="G120" s="10">
        <v>44201</v>
      </c>
      <c r="H120" s="32">
        <v>47200</v>
      </c>
      <c r="I120" s="90">
        <f>+F120-H120</f>
        <v>0</v>
      </c>
      <c r="J120" s="118" t="s">
        <v>1572</v>
      </c>
    </row>
    <row r="121" spans="2:10">
      <c r="B121" s="156"/>
      <c r="C121" s="19"/>
      <c r="D121" s="17"/>
      <c r="E121" s="10"/>
      <c r="F121" s="32"/>
      <c r="G121" s="10"/>
      <c r="H121" s="32"/>
      <c r="I121" s="90"/>
      <c r="J121" s="118"/>
    </row>
    <row r="122" spans="2:10">
      <c r="B122" s="156" t="s">
        <v>1184</v>
      </c>
      <c r="C122" s="19" t="s">
        <v>923</v>
      </c>
      <c r="D122" s="17" t="s">
        <v>1644</v>
      </c>
      <c r="E122" s="10">
        <v>44234</v>
      </c>
      <c r="F122" s="32">
        <v>486481.22</v>
      </c>
      <c r="G122" s="10">
        <v>44234</v>
      </c>
      <c r="H122" s="32">
        <v>486481.22</v>
      </c>
      <c r="I122" s="90">
        <f>+F122-H122</f>
        <v>0</v>
      </c>
      <c r="J122" s="118" t="s">
        <v>1572</v>
      </c>
    </row>
    <row r="123" spans="2:10">
      <c r="B123" s="156"/>
      <c r="C123" s="19"/>
      <c r="D123" s="17"/>
      <c r="E123" s="10"/>
      <c r="F123" s="32"/>
      <c r="G123" s="10"/>
      <c r="H123" s="32"/>
      <c r="I123" s="90"/>
      <c r="J123" s="118"/>
    </row>
    <row r="124" spans="2:10">
      <c r="B124" s="156" t="s">
        <v>1132</v>
      </c>
      <c r="C124" s="19" t="s">
        <v>1646</v>
      </c>
      <c r="D124" s="17" t="s">
        <v>1645</v>
      </c>
      <c r="E124" s="10" t="s">
        <v>1044</v>
      </c>
      <c r="F124" s="32">
        <v>700000</v>
      </c>
      <c r="G124" s="10" t="s">
        <v>1044</v>
      </c>
      <c r="H124" s="32">
        <v>700000</v>
      </c>
      <c r="I124" s="90">
        <f>+F124-H124</f>
        <v>0</v>
      </c>
      <c r="J124" s="118" t="s">
        <v>1572</v>
      </c>
    </row>
    <row r="125" spans="2:10">
      <c r="B125" s="156"/>
      <c r="C125" s="19"/>
      <c r="D125" s="17"/>
      <c r="E125" s="10"/>
      <c r="F125" s="32"/>
      <c r="G125" s="10"/>
      <c r="H125" s="32"/>
      <c r="I125" s="90"/>
      <c r="J125" s="118"/>
    </row>
    <row r="126" spans="2:10">
      <c r="B126" s="156" t="s">
        <v>1174</v>
      </c>
      <c r="C126" s="19" t="s">
        <v>962</v>
      </c>
      <c r="D126" s="17" t="s">
        <v>1647</v>
      </c>
      <c r="E126" s="10">
        <v>44354</v>
      </c>
      <c r="F126" s="32">
        <v>76405</v>
      </c>
      <c r="G126" s="10">
        <v>44354</v>
      </c>
      <c r="H126" s="32">
        <v>76405</v>
      </c>
      <c r="I126" s="90">
        <f>+F126-H126</f>
        <v>0</v>
      </c>
      <c r="J126" s="118" t="s">
        <v>1572</v>
      </c>
    </row>
    <row r="127" spans="2:10">
      <c r="B127" s="156"/>
      <c r="C127" s="19"/>
      <c r="D127" s="17"/>
      <c r="E127" s="10"/>
      <c r="F127" s="32"/>
      <c r="G127" s="10"/>
      <c r="H127" s="90"/>
      <c r="I127" s="90"/>
      <c r="J127" s="118"/>
    </row>
    <row r="128" spans="2:10">
      <c r="B128" s="156" t="s">
        <v>1152</v>
      </c>
      <c r="C128" s="19" t="s">
        <v>102</v>
      </c>
      <c r="D128" s="17" t="s">
        <v>1648</v>
      </c>
      <c r="E128" s="10">
        <v>44200</v>
      </c>
      <c r="F128" s="32">
        <v>59000</v>
      </c>
      <c r="G128" s="10">
        <v>44200</v>
      </c>
      <c r="H128" s="32">
        <v>59000</v>
      </c>
      <c r="I128" s="90">
        <f>+F128-H128</f>
        <v>0</v>
      </c>
      <c r="J128" s="118" t="s">
        <v>1572</v>
      </c>
    </row>
    <row r="129" spans="2:10">
      <c r="B129" s="156"/>
      <c r="C129" s="19"/>
      <c r="D129" s="17"/>
      <c r="E129" s="10"/>
      <c r="F129" s="32"/>
      <c r="G129" s="10"/>
      <c r="H129" s="90"/>
      <c r="I129" s="90"/>
      <c r="J129" s="118"/>
    </row>
    <row r="130" spans="2:10">
      <c r="B130" s="156" t="s">
        <v>1184</v>
      </c>
      <c r="C130" s="19" t="s">
        <v>570</v>
      </c>
      <c r="D130" s="17" t="s">
        <v>1649</v>
      </c>
      <c r="E130" s="10">
        <v>44203</v>
      </c>
      <c r="F130" s="32">
        <v>280000</v>
      </c>
      <c r="G130" s="10">
        <v>44203</v>
      </c>
      <c r="H130" s="32">
        <v>280000</v>
      </c>
      <c r="I130" s="90">
        <f>+F130-H130</f>
        <v>0</v>
      </c>
      <c r="J130" s="118" t="s">
        <v>1572</v>
      </c>
    </row>
    <row r="131" spans="2:10">
      <c r="B131" s="156" t="s">
        <v>1184</v>
      </c>
      <c r="C131" s="19" t="s">
        <v>570</v>
      </c>
      <c r="D131" s="17" t="s">
        <v>1650</v>
      </c>
      <c r="E131" s="10" t="s">
        <v>1651</v>
      </c>
      <c r="F131" s="32">
        <v>200000</v>
      </c>
      <c r="G131" s="10" t="s">
        <v>1651</v>
      </c>
      <c r="H131" s="32">
        <v>200000</v>
      </c>
      <c r="I131" s="90">
        <f>+F131-H131</f>
        <v>0</v>
      </c>
      <c r="J131" s="118" t="s">
        <v>1572</v>
      </c>
    </row>
    <row r="132" spans="2:10">
      <c r="B132" s="156"/>
      <c r="C132" s="19"/>
      <c r="D132" s="17"/>
      <c r="E132" s="10"/>
      <c r="F132" s="32"/>
      <c r="G132" s="10"/>
      <c r="H132" s="90"/>
      <c r="I132" s="90"/>
      <c r="J132" s="118"/>
    </row>
    <row r="133" spans="2:10">
      <c r="B133" s="156" t="s">
        <v>1103</v>
      </c>
      <c r="C133" s="19" t="s">
        <v>923</v>
      </c>
      <c r="D133" s="17" t="s">
        <v>1652</v>
      </c>
      <c r="E133" s="10" t="s">
        <v>972</v>
      </c>
      <c r="F133" s="32">
        <v>1440000</v>
      </c>
      <c r="G133" s="10" t="s">
        <v>972</v>
      </c>
      <c r="H133" s="32">
        <v>1440000</v>
      </c>
      <c r="I133" s="90">
        <f>+F133-H133</f>
        <v>0</v>
      </c>
      <c r="J133" s="118" t="s">
        <v>1572</v>
      </c>
    </row>
    <row r="134" spans="2:10">
      <c r="B134" s="156"/>
      <c r="C134" s="19"/>
      <c r="D134" s="17"/>
      <c r="E134" s="10"/>
      <c r="F134" s="32"/>
      <c r="G134" s="10"/>
      <c r="H134" s="90"/>
      <c r="I134" s="90"/>
      <c r="J134" s="118"/>
    </row>
    <row r="135" spans="2:10">
      <c r="B135" s="156" t="s">
        <v>1189</v>
      </c>
      <c r="C135" s="19" t="s">
        <v>923</v>
      </c>
      <c r="D135" s="17" t="s">
        <v>1653</v>
      </c>
      <c r="E135" s="10">
        <v>44235</v>
      </c>
      <c r="F135" s="32">
        <v>1914000</v>
      </c>
      <c r="G135" s="10">
        <v>44235</v>
      </c>
      <c r="H135" s="32">
        <v>1914000</v>
      </c>
      <c r="I135" s="90">
        <f>+F135-H135</f>
        <v>0</v>
      </c>
      <c r="J135" s="118" t="s">
        <v>1572</v>
      </c>
    </row>
    <row r="136" spans="2:10">
      <c r="B136" s="156"/>
      <c r="C136" s="19"/>
      <c r="D136" s="17"/>
      <c r="E136" s="10"/>
      <c r="F136" s="32"/>
      <c r="G136" s="10"/>
      <c r="H136" s="90"/>
      <c r="I136" s="90"/>
      <c r="J136" s="118"/>
    </row>
    <row r="137" spans="2:10">
      <c r="B137" s="156" t="s">
        <v>1184</v>
      </c>
      <c r="C137" s="19" t="s">
        <v>570</v>
      </c>
      <c r="D137" s="17" t="s">
        <v>1654</v>
      </c>
      <c r="E137" s="10" t="s">
        <v>1651</v>
      </c>
      <c r="F137" s="32">
        <v>2917200</v>
      </c>
      <c r="G137" s="10" t="s">
        <v>1651</v>
      </c>
      <c r="H137" s="32">
        <v>2917200</v>
      </c>
      <c r="I137" s="90">
        <f>+F137-H137</f>
        <v>0</v>
      </c>
      <c r="J137" s="118" t="s">
        <v>1572</v>
      </c>
    </row>
    <row r="138" spans="2:10">
      <c r="B138" s="156" t="s">
        <v>1184</v>
      </c>
      <c r="C138" s="19" t="s">
        <v>570</v>
      </c>
      <c r="D138" s="17" t="s">
        <v>1655</v>
      </c>
      <c r="E138" s="10" t="s">
        <v>1657</v>
      </c>
      <c r="F138" s="32">
        <v>3160300</v>
      </c>
      <c r="G138" s="10" t="s">
        <v>1657</v>
      </c>
      <c r="H138" s="32">
        <v>3160300</v>
      </c>
      <c r="I138" s="90">
        <f>+F138-H138</f>
        <v>0</v>
      </c>
      <c r="J138" s="118" t="s">
        <v>1572</v>
      </c>
    </row>
    <row r="139" spans="2:10">
      <c r="B139" s="156" t="s">
        <v>1184</v>
      </c>
      <c r="C139" s="19" t="s">
        <v>570</v>
      </c>
      <c r="D139" s="17" t="s">
        <v>1656</v>
      </c>
      <c r="E139" s="10" t="s">
        <v>1542</v>
      </c>
      <c r="F139" s="32">
        <v>972400</v>
      </c>
      <c r="G139" s="10" t="s">
        <v>1542</v>
      </c>
      <c r="H139" s="32">
        <v>972400</v>
      </c>
      <c r="I139" s="90">
        <f>+F139-H139</f>
        <v>0</v>
      </c>
      <c r="J139" s="118" t="s">
        <v>1572</v>
      </c>
    </row>
    <row r="140" spans="2:10">
      <c r="B140" s="156"/>
      <c r="C140" s="19"/>
      <c r="D140" s="17"/>
      <c r="E140" s="10"/>
      <c r="F140" s="32"/>
      <c r="G140" s="10"/>
      <c r="H140" s="90"/>
      <c r="I140" s="90"/>
      <c r="J140" s="118"/>
    </row>
    <row r="141" spans="2:10">
      <c r="B141" s="156" t="s">
        <v>1204</v>
      </c>
      <c r="C141" s="19" t="s">
        <v>923</v>
      </c>
      <c r="D141" s="17" t="s">
        <v>1653</v>
      </c>
      <c r="E141" s="10">
        <v>44235</v>
      </c>
      <c r="F141" s="32">
        <v>4656652</v>
      </c>
      <c r="G141" s="10">
        <v>44235</v>
      </c>
      <c r="H141" s="32">
        <v>4656652</v>
      </c>
      <c r="I141" s="90">
        <f>+F141-H141</f>
        <v>0</v>
      </c>
      <c r="J141" s="118" t="s">
        <v>1572</v>
      </c>
    </row>
    <row r="142" spans="2:10">
      <c r="B142" s="156"/>
      <c r="C142" s="19"/>
      <c r="D142" s="17"/>
      <c r="E142" s="10"/>
      <c r="F142" s="32"/>
      <c r="G142" s="10"/>
      <c r="H142" s="90"/>
      <c r="I142" s="90"/>
      <c r="J142" s="118"/>
    </row>
    <row r="143" spans="2:10">
      <c r="B143" s="156" t="s">
        <v>1232</v>
      </c>
      <c r="C143" s="19" t="s">
        <v>570</v>
      </c>
      <c r="D143" s="17" t="s">
        <v>1658</v>
      </c>
      <c r="E143" s="10" t="s">
        <v>1003</v>
      </c>
      <c r="F143" s="157">
        <v>8776000</v>
      </c>
      <c r="G143" s="10" t="s">
        <v>1003</v>
      </c>
      <c r="H143" s="157">
        <v>8776000</v>
      </c>
      <c r="I143" s="90">
        <f>+F143-H143</f>
        <v>0</v>
      </c>
      <c r="J143" s="118" t="s">
        <v>1572</v>
      </c>
    </row>
    <row r="144" spans="2:10">
      <c r="B144" s="156" t="s">
        <v>1232</v>
      </c>
      <c r="C144" s="19" t="s">
        <v>570</v>
      </c>
      <c r="D144" s="17" t="s">
        <v>1659</v>
      </c>
      <c r="E144" s="10" t="s">
        <v>1661</v>
      </c>
      <c r="F144" s="32">
        <v>2799421.2</v>
      </c>
      <c r="G144" s="10" t="s">
        <v>1661</v>
      </c>
      <c r="H144" s="32">
        <v>2799421.2</v>
      </c>
      <c r="I144" s="90">
        <f>+F144-H144</f>
        <v>0</v>
      </c>
      <c r="J144" s="118" t="s">
        <v>1572</v>
      </c>
    </row>
    <row r="145" spans="2:10">
      <c r="B145" s="156" t="s">
        <v>1232</v>
      </c>
      <c r="C145" s="19" t="s">
        <v>570</v>
      </c>
      <c r="D145" s="17" t="s">
        <v>1660</v>
      </c>
      <c r="E145" s="10" t="s">
        <v>1661</v>
      </c>
      <c r="F145" s="32">
        <v>456000</v>
      </c>
      <c r="G145" s="10" t="s">
        <v>1661</v>
      </c>
      <c r="H145" s="32">
        <v>456000</v>
      </c>
      <c r="I145" s="90">
        <f>+F145-H145</f>
        <v>0</v>
      </c>
      <c r="J145" s="118" t="s">
        <v>1572</v>
      </c>
    </row>
    <row r="146" spans="2:10">
      <c r="B146" s="156"/>
      <c r="C146" s="19"/>
      <c r="D146" s="17"/>
      <c r="E146" s="10"/>
      <c r="F146" s="32"/>
      <c r="G146" s="10"/>
      <c r="H146" s="90"/>
      <c r="I146" s="90"/>
      <c r="J146" s="118"/>
    </row>
    <row r="147" spans="2:10">
      <c r="B147" s="156" t="s">
        <v>1223</v>
      </c>
      <c r="C147" s="19" t="s">
        <v>1394</v>
      </c>
      <c r="D147" s="17" t="s">
        <v>1662</v>
      </c>
      <c r="E147" s="10">
        <v>44354</v>
      </c>
      <c r="F147" s="32">
        <v>125729</v>
      </c>
      <c r="G147" s="10">
        <v>44354</v>
      </c>
      <c r="H147" s="32">
        <v>125729</v>
      </c>
      <c r="I147" s="90">
        <f>+F147-H147</f>
        <v>0</v>
      </c>
      <c r="J147" s="118" t="s">
        <v>1572</v>
      </c>
    </row>
    <row r="148" spans="2:10">
      <c r="B148" s="156"/>
      <c r="C148" s="19"/>
      <c r="D148" s="17"/>
      <c r="E148" s="10"/>
      <c r="F148" s="32"/>
      <c r="G148" s="10"/>
      <c r="H148" s="90"/>
      <c r="I148" s="90"/>
      <c r="J148" s="118"/>
    </row>
    <row r="149" spans="2:10">
      <c r="B149" s="156" t="s">
        <v>1293</v>
      </c>
      <c r="C149" s="19" t="s">
        <v>102</v>
      </c>
      <c r="D149" s="17" t="s">
        <v>1663</v>
      </c>
      <c r="E149" s="10">
        <v>44323</v>
      </c>
      <c r="F149" s="32">
        <v>29500</v>
      </c>
      <c r="G149" s="10">
        <v>44323</v>
      </c>
      <c r="H149" s="32">
        <v>29500</v>
      </c>
      <c r="I149" s="90">
        <f>+F149-H149</f>
        <v>0</v>
      </c>
      <c r="J149" s="118" t="s">
        <v>1572</v>
      </c>
    </row>
    <row r="150" spans="2:10">
      <c r="B150" s="156" t="s">
        <v>1293</v>
      </c>
      <c r="C150" s="19" t="s">
        <v>102</v>
      </c>
      <c r="D150" s="17" t="s">
        <v>1653</v>
      </c>
      <c r="E150" s="10">
        <v>44323</v>
      </c>
      <c r="F150" s="32">
        <v>29500</v>
      </c>
      <c r="G150" s="10">
        <v>44323</v>
      </c>
      <c r="H150" s="32">
        <v>29500</v>
      </c>
      <c r="I150" s="90">
        <f>+F150-H150</f>
        <v>0</v>
      </c>
      <c r="J150" s="118" t="s">
        <v>1572</v>
      </c>
    </row>
    <row r="151" spans="2:10">
      <c r="B151" s="156" t="s">
        <v>1293</v>
      </c>
      <c r="C151" s="19" t="s">
        <v>102</v>
      </c>
      <c r="D151" s="17" t="s">
        <v>1664</v>
      </c>
      <c r="E151" s="10">
        <v>44323</v>
      </c>
      <c r="F151" s="32">
        <v>29500</v>
      </c>
      <c r="G151" s="10">
        <v>44323</v>
      </c>
      <c r="H151" s="32">
        <v>29500</v>
      </c>
      <c r="I151" s="90">
        <f>+F151-H151</f>
        <v>0</v>
      </c>
      <c r="J151" s="118" t="s">
        <v>1572</v>
      </c>
    </row>
    <row r="152" spans="2:10">
      <c r="B152" s="156" t="s">
        <v>1293</v>
      </c>
      <c r="C152" s="19" t="s">
        <v>102</v>
      </c>
      <c r="D152" s="17" t="s">
        <v>1665</v>
      </c>
      <c r="E152" s="10">
        <v>44323</v>
      </c>
      <c r="F152" s="32">
        <v>29500</v>
      </c>
      <c r="G152" s="10">
        <v>44323</v>
      </c>
      <c r="H152" s="32">
        <v>29500</v>
      </c>
      <c r="I152" s="90">
        <f>+F152-H152</f>
        <v>0</v>
      </c>
      <c r="J152" s="118" t="s">
        <v>1572</v>
      </c>
    </row>
    <row r="153" spans="2:10">
      <c r="B153" s="156"/>
      <c r="C153" s="19"/>
      <c r="D153" s="17"/>
      <c r="E153" s="10"/>
      <c r="F153" s="32"/>
      <c r="G153" s="10"/>
      <c r="H153" s="90"/>
      <c r="I153" s="90"/>
      <c r="J153" s="118"/>
    </row>
    <row r="154" spans="2:10">
      <c r="B154" s="156" t="s">
        <v>1250</v>
      </c>
      <c r="C154" s="19" t="s">
        <v>962</v>
      </c>
      <c r="D154" s="17" t="s">
        <v>1666</v>
      </c>
      <c r="E154" s="10">
        <v>44447</v>
      </c>
      <c r="F154" s="32">
        <v>208265.28</v>
      </c>
      <c r="G154" s="10">
        <v>44447</v>
      </c>
      <c r="H154" s="32">
        <v>208265.28</v>
      </c>
      <c r="I154" s="90">
        <f>+F154-H154</f>
        <v>0</v>
      </c>
      <c r="J154" s="118" t="s">
        <v>1572</v>
      </c>
    </row>
    <row r="155" spans="2:10">
      <c r="B155" s="156"/>
      <c r="C155" s="19"/>
      <c r="D155" s="17"/>
      <c r="E155" s="10"/>
      <c r="F155" s="32"/>
      <c r="G155" s="10"/>
      <c r="H155" s="90"/>
      <c r="I155" s="90"/>
      <c r="J155" s="118"/>
    </row>
    <row r="156" spans="2:10">
      <c r="B156" s="156" t="s">
        <v>1184</v>
      </c>
      <c r="C156" s="19" t="s">
        <v>923</v>
      </c>
      <c r="D156" s="17" t="s">
        <v>1667</v>
      </c>
      <c r="E156" s="10">
        <v>44235</v>
      </c>
      <c r="F156" s="32">
        <v>1042459.76</v>
      </c>
      <c r="G156" s="10">
        <v>44235</v>
      </c>
      <c r="H156" s="32">
        <v>1042459.76</v>
      </c>
      <c r="I156" s="90">
        <f>+F156-H156</f>
        <v>0</v>
      </c>
      <c r="J156" s="118" t="s">
        <v>1572</v>
      </c>
    </row>
    <row r="157" spans="2:10">
      <c r="B157" s="156"/>
      <c r="C157" s="19"/>
      <c r="D157" s="17"/>
      <c r="E157" s="10"/>
      <c r="F157" s="32"/>
      <c r="G157" s="10"/>
      <c r="H157" s="32"/>
      <c r="I157" s="90"/>
      <c r="J157" s="118"/>
    </row>
    <row r="158" spans="2:10">
      <c r="B158" s="156" t="s">
        <v>1241</v>
      </c>
      <c r="C158" s="19" t="s">
        <v>705</v>
      </c>
      <c r="D158" s="17" t="s">
        <v>1668</v>
      </c>
      <c r="E158" s="10" t="s">
        <v>1669</v>
      </c>
      <c r="F158" s="32">
        <v>45960</v>
      </c>
      <c r="G158" s="10" t="s">
        <v>1669</v>
      </c>
      <c r="H158" s="32">
        <v>45960</v>
      </c>
      <c r="I158" s="90">
        <f>+F158-H158</f>
        <v>0</v>
      </c>
      <c r="J158" s="118" t="s">
        <v>1572</v>
      </c>
    </row>
    <row r="159" spans="2:10">
      <c r="B159" s="156"/>
      <c r="C159" s="19"/>
      <c r="D159" s="17"/>
      <c r="E159" s="10"/>
      <c r="F159" s="32"/>
      <c r="G159" s="10"/>
      <c r="H159" s="32"/>
      <c r="I159" s="90"/>
      <c r="J159" s="118"/>
    </row>
    <row r="160" spans="2:10">
      <c r="B160" s="156" t="s">
        <v>1256</v>
      </c>
      <c r="C160" s="19" t="s">
        <v>1585</v>
      </c>
      <c r="D160" s="17" t="s">
        <v>1670</v>
      </c>
      <c r="E160" s="10">
        <v>44203</v>
      </c>
      <c r="F160" s="32">
        <v>2005553.6</v>
      </c>
      <c r="G160" s="10">
        <v>44203</v>
      </c>
      <c r="H160" s="32">
        <v>2005553.6</v>
      </c>
      <c r="I160" s="90">
        <f>+F160-H160</f>
        <v>0</v>
      </c>
      <c r="J160" s="118" t="s">
        <v>1572</v>
      </c>
    </row>
    <row r="161" spans="2:10">
      <c r="B161" s="156"/>
      <c r="C161" s="19"/>
      <c r="D161" s="17"/>
      <c r="E161" s="10"/>
      <c r="F161" s="32"/>
      <c r="G161" s="10"/>
      <c r="H161" s="32"/>
      <c r="I161" s="90"/>
      <c r="J161" s="118"/>
    </row>
    <row r="162" spans="2:10">
      <c r="B162" s="156" t="s">
        <v>1232</v>
      </c>
      <c r="C162" s="19" t="s">
        <v>570</v>
      </c>
      <c r="D162" s="17" t="s">
        <v>1671</v>
      </c>
      <c r="E162" s="10">
        <v>44204</v>
      </c>
      <c r="F162" s="32">
        <v>2017932.4</v>
      </c>
      <c r="G162" s="10">
        <v>44204</v>
      </c>
      <c r="H162" s="32">
        <v>2017932.4</v>
      </c>
      <c r="I162" s="90">
        <f>+F162-H162</f>
        <v>0</v>
      </c>
      <c r="J162" s="118" t="s">
        <v>1572</v>
      </c>
    </row>
    <row r="163" spans="2:10">
      <c r="B163" s="156"/>
      <c r="C163" s="19"/>
      <c r="D163" s="17"/>
      <c r="E163" s="10"/>
      <c r="F163" s="32"/>
      <c r="G163" s="10"/>
      <c r="H163" s="32"/>
      <c r="I163" s="90"/>
      <c r="J163" s="118"/>
    </row>
    <row r="164" spans="2:10">
      <c r="B164" s="156" t="s">
        <v>1260</v>
      </c>
      <c r="C164" s="19" t="s">
        <v>1585</v>
      </c>
      <c r="D164" s="17" t="s">
        <v>1605</v>
      </c>
      <c r="E164" s="10" t="s">
        <v>1044</v>
      </c>
      <c r="F164" s="32">
        <v>39462.620000000003</v>
      </c>
      <c r="G164" s="10" t="s">
        <v>1044</v>
      </c>
      <c r="H164" s="32">
        <v>39462.620000000003</v>
      </c>
      <c r="I164" s="90">
        <f>+F164-H164</f>
        <v>0</v>
      </c>
      <c r="J164" s="118" t="s">
        <v>1572</v>
      </c>
    </row>
    <row r="165" spans="2:10">
      <c r="B165" s="156"/>
      <c r="C165" s="19"/>
      <c r="D165" s="17"/>
      <c r="E165" s="10"/>
      <c r="F165" s="32"/>
      <c r="G165" s="10"/>
      <c r="H165" s="32"/>
      <c r="I165" s="90"/>
      <c r="J165" s="118"/>
    </row>
    <row r="166" spans="2:10">
      <c r="B166" s="156" t="s">
        <v>1319</v>
      </c>
      <c r="C166" s="19" t="s">
        <v>1380</v>
      </c>
      <c r="D166" s="17" t="s">
        <v>1672</v>
      </c>
      <c r="E166" s="10">
        <v>44203</v>
      </c>
      <c r="F166" s="32">
        <v>259511.48</v>
      </c>
      <c r="G166" s="10" t="s">
        <v>1009</v>
      </c>
      <c r="H166" s="32">
        <v>259511.48</v>
      </c>
      <c r="I166" s="90">
        <f>+F166-H166</f>
        <v>0</v>
      </c>
      <c r="J166" s="118" t="s">
        <v>1572</v>
      </c>
    </row>
    <row r="167" spans="2:10">
      <c r="B167" s="156" t="s">
        <v>1319</v>
      </c>
      <c r="C167" s="19" t="s">
        <v>1380</v>
      </c>
      <c r="D167" s="17" t="s">
        <v>1673</v>
      </c>
      <c r="E167" s="10">
        <v>44203</v>
      </c>
      <c r="F167" s="32">
        <v>264202.49</v>
      </c>
      <c r="G167" s="10" t="s">
        <v>1009</v>
      </c>
      <c r="H167" s="32">
        <v>264202.49</v>
      </c>
      <c r="I167" s="90">
        <f>+F167-H167</f>
        <v>0</v>
      </c>
      <c r="J167" s="118" t="s">
        <v>1572</v>
      </c>
    </row>
    <row r="168" spans="2:10">
      <c r="B168" s="156" t="s">
        <v>1319</v>
      </c>
      <c r="C168" s="19" t="s">
        <v>1380</v>
      </c>
      <c r="D168" s="17" t="s">
        <v>1674</v>
      </c>
      <c r="E168" s="10">
        <v>44203</v>
      </c>
      <c r="F168" s="32">
        <v>52702.21</v>
      </c>
      <c r="G168" s="10" t="s">
        <v>1009</v>
      </c>
      <c r="H168" s="32">
        <v>52702.21</v>
      </c>
      <c r="I168" s="90">
        <f>+F168-H168</f>
        <v>0</v>
      </c>
      <c r="J168" s="118" t="s">
        <v>1572</v>
      </c>
    </row>
    <row r="169" spans="2:10">
      <c r="B169" s="156" t="s">
        <v>1319</v>
      </c>
      <c r="C169" s="19" t="s">
        <v>1380</v>
      </c>
      <c r="D169" s="17" t="s">
        <v>1675</v>
      </c>
      <c r="E169" s="10">
        <v>44203</v>
      </c>
      <c r="F169" s="32">
        <v>15415.09</v>
      </c>
      <c r="G169" s="10" t="s">
        <v>1009</v>
      </c>
      <c r="H169" s="32">
        <v>15415.09</v>
      </c>
      <c r="I169" s="90">
        <f>+F169-H169</f>
        <v>0</v>
      </c>
      <c r="J169" s="118" t="s">
        <v>1572</v>
      </c>
    </row>
    <row r="170" spans="2:10">
      <c r="B170" s="156"/>
      <c r="C170" s="19"/>
      <c r="D170" s="17"/>
      <c r="E170" s="10"/>
      <c r="F170" s="32"/>
      <c r="G170" s="10"/>
      <c r="H170" s="32"/>
      <c r="I170" s="90"/>
      <c r="J170" s="118"/>
    </row>
    <row r="171" spans="2:10">
      <c r="B171" s="156" t="s">
        <v>1345</v>
      </c>
      <c r="C171" s="19" t="s">
        <v>962</v>
      </c>
      <c r="D171" s="17" t="s">
        <v>1676</v>
      </c>
      <c r="E171" s="10">
        <v>44203</v>
      </c>
      <c r="F171" s="32">
        <v>598260</v>
      </c>
      <c r="G171" s="10">
        <v>44203</v>
      </c>
      <c r="H171" s="32">
        <v>598260</v>
      </c>
      <c r="I171" s="90">
        <f>+F171-H171</f>
        <v>0</v>
      </c>
      <c r="J171" s="118" t="s">
        <v>1572</v>
      </c>
    </row>
    <row r="172" spans="2:10">
      <c r="B172" s="156"/>
      <c r="C172" s="19"/>
      <c r="D172" s="17"/>
      <c r="E172" s="10"/>
      <c r="F172" s="32"/>
      <c r="G172" s="10"/>
      <c r="H172" s="32"/>
      <c r="I172" s="90"/>
      <c r="J172" s="118"/>
    </row>
    <row r="173" spans="2:10">
      <c r="B173" s="156" t="s">
        <v>1096</v>
      </c>
      <c r="C173" s="19" t="s">
        <v>164</v>
      </c>
      <c r="D173" s="17" t="s">
        <v>1677</v>
      </c>
      <c r="E173" s="10">
        <v>44294</v>
      </c>
      <c r="F173" s="32">
        <v>554700</v>
      </c>
      <c r="G173" s="10">
        <v>44294</v>
      </c>
      <c r="H173" s="32">
        <v>554700</v>
      </c>
      <c r="I173" s="90">
        <f>+F173-H173</f>
        <v>0</v>
      </c>
      <c r="J173" s="118" t="s">
        <v>1572</v>
      </c>
    </row>
    <row r="174" spans="2:10">
      <c r="B174" s="156"/>
      <c r="C174" s="19"/>
      <c r="D174" s="17"/>
      <c r="E174" s="10"/>
      <c r="F174" s="32"/>
      <c r="G174" s="10"/>
      <c r="H174" s="32"/>
      <c r="I174" s="90"/>
      <c r="J174" s="118"/>
    </row>
    <row r="175" spans="2:10">
      <c r="B175" s="156" t="s">
        <v>1070</v>
      </c>
      <c r="C175" s="19" t="s">
        <v>168</v>
      </c>
      <c r="D175" s="17" t="s">
        <v>1678</v>
      </c>
      <c r="E175" s="10" t="s">
        <v>1669</v>
      </c>
      <c r="F175" s="32">
        <v>293743.3</v>
      </c>
      <c r="G175" s="10" t="s">
        <v>1669</v>
      </c>
      <c r="H175" s="32">
        <v>293743.3</v>
      </c>
      <c r="I175" s="90">
        <f>+F175-H175</f>
        <v>0</v>
      </c>
      <c r="J175" s="118" t="s">
        <v>1572</v>
      </c>
    </row>
    <row r="176" spans="2:10">
      <c r="B176" s="156"/>
      <c r="C176" s="19"/>
      <c r="D176" s="17"/>
      <c r="E176" s="10"/>
      <c r="F176" s="32"/>
      <c r="G176" s="10"/>
      <c r="H176" s="32"/>
      <c r="I176" s="90"/>
      <c r="J176" s="118"/>
    </row>
    <row r="177" spans="2:10">
      <c r="B177" s="156" t="s">
        <v>1313</v>
      </c>
      <c r="C177" s="19" t="s">
        <v>1392</v>
      </c>
      <c r="D177" s="17" t="s">
        <v>1679</v>
      </c>
      <c r="E177" s="10" t="s">
        <v>1657</v>
      </c>
      <c r="F177" s="157">
        <v>326646</v>
      </c>
      <c r="G177" s="10" t="s">
        <v>972</v>
      </c>
      <c r="H177" s="157">
        <v>326646</v>
      </c>
      <c r="I177" s="90">
        <f>+F177-H177</f>
        <v>0</v>
      </c>
      <c r="J177" s="118" t="s">
        <v>1572</v>
      </c>
    </row>
    <row r="178" spans="2:10">
      <c r="B178" s="156"/>
      <c r="C178" s="19"/>
      <c r="D178" s="17"/>
      <c r="E178" s="10"/>
      <c r="F178" s="157"/>
      <c r="G178" s="10"/>
      <c r="H178" s="157"/>
      <c r="I178" s="90"/>
      <c r="J178" s="118"/>
    </row>
    <row r="179" spans="2:10">
      <c r="B179" s="156" t="s">
        <v>1328</v>
      </c>
      <c r="C179" s="19" t="s">
        <v>1585</v>
      </c>
      <c r="D179" s="17" t="s">
        <v>1479</v>
      </c>
      <c r="E179" s="10">
        <v>44203</v>
      </c>
      <c r="F179" s="157">
        <v>131275</v>
      </c>
      <c r="G179" s="10">
        <v>44203</v>
      </c>
      <c r="H179" s="157">
        <v>131275</v>
      </c>
      <c r="I179" s="90">
        <f>+F179-H179</f>
        <v>0</v>
      </c>
      <c r="J179" s="118" t="s">
        <v>1572</v>
      </c>
    </row>
    <row r="180" spans="2:10">
      <c r="B180" s="156"/>
      <c r="C180" s="19"/>
      <c r="D180" s="17"/>
      <c r="E180" s="10"/>
      <c r="F180" s="157"/>
      <c r="G180" s="10"/>
      <c r="H180" s="157"/>
      <c r="I180" s="90"/>
      <c r="J180" s="118"/>
    </row>
    <row r="181" spans="2:10">
      <c r="B181" s="156" t="s">
        <v>1317</v>
      </c>
      <c r="C181" s="19" t="s">
        <v>1380</v>
      </c>
      <c r="D181" s="17" t="s">
        <v>1680</v>
      </c>
      <c r="E181" s="10">
        <v>44204</v>
      </c>
      <c r="F181" s="157">
        <v>895.41</v>
      </c>
      <c r="G181" s="10">
        <v>44204</v>
      </c>
      <c r="H181" s="157">
        <v>895.41</v>
      </c>
      <c r="I181" s="90">
        <f>+F181-H181</f>
        <v>0</v>
      </c>
      <c r="J181" s="118" t="s">
        <v>1572</v>
      </c>
    </row>
    <row r="182" spans="2:10">
      <c r="B182" s="156" t="s">
        <v>1317</v>
      </c>
      <c r="C182" s="19" t="s">
        <v>1380</v>
      </c>
      <c r="D182" s="17" t="s">
        <v>1681</v>
      </c>
      <c r="E182" s="10">
        <v>44204</v>
      </c>
      <c r="F182" s="157">
        <v>1574.25</v>
      </c>
      <c r="G182" s="10">
        <v>44204</v>
      </c>
      <c r="H182" s="157">
        <v>1574.25</v>
      </c>
      <c r="I182" s="90">
        <f>+F182-H182</f>
        <v>0</v>
      </c>
      <c r="J182" s="118" t="s">
        <v>1572</v>
      </c>
    </row>
    <row r="183" spans="2:10">
      <c r="B183" s="156"/>
      <c r="C183" s="19"/>
      <c r="D183" s="17"/>
      <c r="E183" s="10"/>
      <c r="F183" s="157"/>
      <c r="G183" s="10"/>
      <c r="H183" s="157"/>
      <c r="I183" s="90"/>
      <c r="J183" s="118"/>
    </row>
    <row r="184" spans="2:10">
      <c r="B184" s="156" t="s">
        <v>1332</v>
      </c>
      <c r="C184" s="19" t="s">
        <v>597</v>
      </c>
      <c r="D184" s="17" t="s">
        <v>1458</v>
      </c>
      <c r="E184" s="10" t="s">
        <v>1457</v>
      </c>
      <c r="F184" s="157">
        <v>210055.59</v>
      </c>
      <c r="G184" s="10" t="s">
        <v>1457</v>
      </c>
      <c r="H184" s="157">
        <v>210055.59</v>
      </c>
      <c r="I184" s="90">
        <f>+F184-H184</f>
        <v>0</v>
      </c>
      <c r="J184" s="118" t="s">
        <v>1572</v>
      </c>
    </row>
    <row r="185" spans="2:10">
      <c r="B185" s="156" t="s">
        <v>1332</v>
      </c>
      <c r="C185" s="19" t="s">
        <v>597</v>
      </c>
      <c r="D185" s="17" t="s">
        <v>1459</v>
      </c>
      <c r="E185" s="10" t="s">
        <v>1457</v>
      </c>
      <c r="F185" s="157">
        <v>291177.2</v>
      </c>
      <c r="G185" s="10" t="s">
        <v>1457</v>
      </c>
      <c r="H185" s="157">
        <v>291177.2</v>
      </c>
      <c r="I185" s="90">
        <f>+F185-H185</f>
        <v>0</v>
      </c>
      <c r="J185" s="118" t="s">
        <v>1572</v>
      </c>
    </row>
    <row r="186" spans="2:10">
      <c r="B186" s="156" t="s">
        <v>1332</v>
      </c>
      <c r="C186" s="19" t="s">
        <v>597</v>
      </c>
      <c r="D186" s="17" t="s">
        <v>1461</v>
      </c>
      <c r="E186" s="10" t="s">
        <v>1457</v>
      </c>
      <c r="F186" s="157">
        <v>209802.75</v>
      </c>
      <c r="G186" s="10" t="s">
        <v>1457</v>
      </c>
      <c r="H186" s="157">
        <v>209802.75</v>
      </c>
      <c r="I186" s="90">
        <f>+F186-H186</f>
        <v>0</v>
      </c>
      <c r="J186" s="118" t="s">
        <v>1572</v>
      </c>
    </row>
    <row r="187" spans="2:10">
      <c r="B187" s="156" t="s">
        <v>1332</v>
      </c>
      <c r="C187" s="19" t="s">
        <v>597</v>
      </c>
      <c r="D187" s="17" t="s">
        <v>1462</v>
      </c>
      <c r="E187" s="10" t="s">
        <v>1457</v>
      </c>
      <c r="F187" s="157">
        <v>280413.37</v>
      </c>
      <c r="G187" s="10" t="s">
        <v>1457</v>
      </c>
      <c r="H187" s="157">
        <v>280413.37</v>
      </c>
      <c r="I187" s="90">
        <f>+F187-H187</f>
        <v>0</v>
      </c>
      <c r="J187" s="118" t="s">
        <v>1572</v>
      </c>
    </row>
    <row r="188" spans="2:10">
      <c r="B188" s="156"/>
      <c r="C188" s="19"/>
      <c r="D188" s="17"/>
      <c r="E188" s="10"/>
      <c r="F188" s="157"/>
      <c r="G188" s="10"/>
      <c r="H188" s="157"/>
      <c r="I188" s="90"/>
      <c r="J188" s="118"/>
    </row>
    <row r="189" spans="2:10">
      <c r="B189" s="156" t="s">
        <v>1344</v>
      </c>
      <c r="C189" s="19" t="s">
        <v>1683</v>
      </c>
      <c r="D189" s="17" t="s">
        <v>1682</v>
      </c>
      <c r="E189" s="10">
        <v>44204</v>
      </c>
      <c r="F189" s="157">
        <v>229304.54</v>
      </c>
      <c r="G189" s="10">
        <v>44204</v>
      </c>
      <c r="H189" s="157">
        <v>229304.54</v>
      </c>
      <c r="I189" s="90">
        <f>+F189-H189</f>
        <v>0</v>
      </c>
      <c r="J189" s="118" t="s">
        <v>1572</v>
      </c>
    </row>
    <row r="190" spans="2:10">
      <c r="B190" s="156"/>
      <c r="C190" s="19"/>
      <c r="D190" s="17"/>
      <c r="E190" s="10"/>
      <c r="F190" s="157"/>
      <c r="G190" s="10"/>
      <c r="H190" s="157"/>
      <c r="I190" s="90"/>
      <c r="J190" s="118"/>
    </row>
    <row r="191" spans="2:10">
      <c r="B191" s="156" t="s">
        <v>1122</v>
      </c>
      <c r="C191" s="19" t="s">
        <v>1684</v>
      </c>
      <c r="D191" s="17" t="s">
        <v>1581</v>
      </c>
      <c r="E191" s="10">
        <v>44204</v>
      </c>
      <c r="F191" s="157">
        <v>651911.74</v>
      </c>
      <c r="G191" s="10">
        <v>44204</v>
      </c>
      <c r="H191" s="157">
        <v>651911.74</v>
      </c>
      <c r="I191" s="90">
        <f>+F191-H191</f>
        <v>0</v>
      </c>
      <c r="J191" s="118" t="s">
        <v>1572</v>
      </c>
    </row>
    <row r="192" spans="2:10">
      <c r="B192" s="156"/>
      <c r="C192" s="19"/>
      <c r="D192" s="17"/>
      <c r="E192" s="10"/>
      <c r="F192" s="157"/>
      <c r="G192" s="10"/>
      <c r="H192" s="157"/>
      <c r="I192" s="90"/>
      <c r="J192" s="118"/>
    </row>
    <row r="193" spans="2:10">
      <c r="B193" s="156" t="s">
        <v>1131</v>
      </c>
      <c r="C193" s="19" t="s">
        <v>164</v>
      </c>
      <c r="D193" s="17" t="s">
        <v>1685</v>
      </c>
      <c r="E193" s="10" t="s">
        <v>1563</v>
      </c>
      <c r="F193" s="157">
        <v>464700</v>
      </c>
      <c r="G193" s="10" t="s">
        <v>1563</v>
      </c>
      <c r="H193" s="157">
        <v>464700</v>
      </c>
      <c r="I193" s="90">
        <f t="shared" ref="I193:I220" si="2">+F193-H193</f>
        <v>0</v>
      </c>
      <c r="J193" s="118" t="s">
        <v>1572</v>
      </c>
    </row>
    <row r="194" spans="2:10">
      <c r="B194" s="156"/>
      <c r="C194" s="19"/>
      <c r="D194" s="17"/>
      <c r="E194" s="10"/>
      <c r="F194" s="157"/>
      <c r="G194" s="10"/>
      <c r="H194" s="157"/>
      <c r="I194" s="90"/>
      <c r="J194" s="118"/>
    </row>
    <row r="195" spans="2:10">
      <c r="B195" s="156" t="s">
        <v>1327</v>
      </c>
      <c r="C195" s="19" t="s">
        <v>705</v>
      </c>
      <c r="D195" s="17" t="s">
        <v>1686</v>
      </c>
      <c r="E195" s="10">
        <v>44204</v>
      </c>
      <c r="F195" s="157">
        <v>107291.5</v>
      </c>
      <c r="G195" s="10">
        <v>44204</v>
      </c>
      <c r="H195" s="157">
        <v>107291.5</v>
      </c>
      <c r="I195" s="90">
        <f t="shared" si="2"/>
        <v>0</v>
      </c>
      <c r="J195" s="118" t="s">
        <v>1572</v>
      </c>
    </row>
    <row r="196" spans="2:10">
      <c r="B196" s="156" t="s">
        <v>1327</v>
      </c>
      <c r="C196" s="19" t="s">
        <v>705</v>
      </c>
      <c r="D196" s="17" t="s">
        <v>968</v>
      </c>
      <c r="E196" s="10">
        <v>44204</v>
      </c>
      <c r="F196" s="157">
        <v>107931.5</v>
      </c>
      <c r="G196" s="10">
        <v>44204</v>
      </c>
      <c r="H196" s="157">
        <v>107931.5</v>
      </c>
      <c r="I196" s="90">
        <f t="shared" si="2"/>
        <v>0</v>
      </c>
      <c r="J196" s="118" t="s">
        <v>1572</v>
      </c>
    </row>
    <row r="197" spans="2:10">
      <c r="B197" s="156"/>
      <c r="C197" s="19"/>
      <c r="D197" s="17"/>
      <c r="E197" s="10"/>
      <c r="F197" s="157"/>
      <c r="G197" s="10"/>
      <c r="H197" s="157"/>
      <c r="I197" s="90"/>
      <c r="J197" s="118"/>
    </row>
    <row r="198" spans="2:10">
      <c r="B198" s="156" t="s">
        <v>349</v>
      </c>
      <c r="C198" s="19" t="s">
        <v>1392</v>
      </c>
      <c r="D198" s="17" t="s">
        <v>1687</v>
      </c>
      <c r="E198" s="10">
        <v>44204</v>
      </c>
      <c r="F198" s="157">
        <v>213824</v>
      </c>
      <c r="G198" s="10">
        <v>44204</v>
      </c>
      <c r="H198" s="157">
        <v>213824</v>
      </c>
      <c r="I198" s="90">
        <f t="shared" si="2"/>
        <v>0</v>
      </c>
      <c r="J198" s="118" t="s">
        <v>1572</v>
      </c>
    </row>
    <row r="199" spans="2:10">
      <c r="B199" s="156" t="s">
        <v>349</v>
      </c>
      <c r="C199" s="19" t="s">
        <v>1391</v>
      </c>
      <c r="D199" s="17" t="s">
        <v>1688</v>
      </c>
      <c r="E199" s="10">
        <v>44204</v>
      </c>
      <c r="F199" s="157">
        <v>1207415.8700000001</v>
      </c>
      <c r="G199" s="10">
        <v>44204</v>
      </c>
      <c r="H199" s="157">
        <v>1207415.8700000001</v>
      </c>
      <c r="I199" s="90">
        <f t="shared" si="2"/>
        <v>0</v>
      </c>
      <c r="J199" s="118" t="s">
        <v>1572</v>
      </c>
    </row>
    <row r="200" spans="2:10">
      <c r="B200" s="156"/>
      <c r="C200" s="19"/>
      <c r="D200" s="17"/>
      <c r="E200" s="10"/>
      <c r="F200" s="157"/>
      <c r="G200" s="10"/>
      <c r="H200" s="157"/>
      <c r="I200" s="90">
        <f t="shared" si="2"/>
        <v>0</v>
      </c>
      <c r="J200" s="118" t="s">
        <v>1572</v>
      </c>
    </row>
    <row r="201" spans="2:10">
      <c r="B201" s="156" t="s">
        <v>1107</v>
      </c>
      <c r="C201" s="19" t="s">
        <v>102</v>
      </c>
      <c r="D201" s="17" t="s">
        <v>1599</v>
      </c>
      <c r="E201" s="10" t="s">
        <v>1692</v>
      </c>
      <c r="F201" s="157">
        <v>29500</v>
      </c>
      <c r="G201" s="10" t="s">
        <v>1692</v>
      </c>
      <c r="H201" s="157">
        <v>29500</v>
      </c>
      <c r="I201" s="90">
        <f t="shared" si="2"/>
        <v>0</v>
      </c>
      <c r="J201" s="118" t="s">
        <v>1572</v>
      </c>
    </row>
    <row r="202" spans="2:10">
      <c r="B202" s="156"/>
      <c r="C202" s="19"/>
      <c r="D202" s="17"/>
      <c r="E202" s="10"/>
      <c r="F202" s="157"/>
      <c r="G202" s="10"/>
      <c r="H202" s="157"/>
      <c r="I202" s="90"/>
      <c r="J202" s="118"/>
    </row>
    <row r="203" spans="2:10">
      <c r="B203" s="156" t="s">
        <v>1333</v>
      </c>
      <c r="C203" s="19" t="s">
        <v>570</v>
      </c>
      <c r="D203" s="17" t="s">
        <v>1689</v>
      </c>
      <c r="E203" s="10">
        <v>44204</v>
      </c>
      <c r="F203" s="157">
        <v>1140000</v>
      </c>
      <c r="G203" s="10">
        <v>44204</v>
      </c>
      <c r="H203" s="157">
        <v>1140000</v>
      </c>
      <c r="I203" s="90">
        <f t="shared" si="2"/>
        <v>0</v>
      </c>
      <c r="J203" s="118" t="s">
        <v>1572</v>
      </c>
    </row>
    <row r="204" spans="2:10">
      <c r="B204" s="156" t="s">
        <v>1333</v>
      </c>
      <c r="C204" s="19" t="s">
        <v>570</v>
      </c>
      <c r="D204" s="17" t="s">
        <v>926</v>
      </c>
      <c r="E204" s="10">
        <v>44204</v>
      </c>
      <c r="F204" s="157">
        <v>855000</v>
      </c>
      <c r="G204" s="10">
        <v>44204</v>
      </c>
      <c r="H204" s="157">
        <v>855000</v>
      </c>
      <c r="I204" s="90">
        <f t="shared" si="2"/>
        <v>0</v>
      </c>
      <c r="J204" s="118" t="s">
        <v>1572</v>
      </c>
    </row>
    <row r="205" spans="2:10">
      <c r="B205" s="156" t="s">
        <v>1333</v>
      </c>
      <c r="C205" s="19" t="s">
        <v>570</v>
      </c>
      <c r="D205" s="17" t="s">
        <v>1690</v>
      </c>
      <c r="E205" s="10">
        <v>44204</v>
      </c>
      <c r="F205" s="157">
        <v>855000</v>
      </c>
      <c r="G205" s="10">
        <v>44204</v>
      </c>
      <c r="H205" s="157">
        <v>855000</v>
      </c>
      <c r="I205" s="90">
        <f t="shared" si="2"/>
        <v>0</v>
      </c>
      <c r="J205" s="118" t="s">
        <v>1572</v>
      </c>
    </row>
    <row r="206" spans="2:10">
      <c r="B206" s="156"/>
      <c r="C206" s="19"/>
      <c r="D206" s="17"/>
      <c r="E206" s="10"/>
      <c r="F206" s="157"/>
      <c r="G206" s="10"/>
      <c r="H206" s="157"/>
      <c r="I206" s="90">
        <f t="shared" si="2"/>
        <v>0</v>
      </c>
      <c r="J206" s="118" t="s">
        <v>1572</v>
      </c>
    </row>
    <row r="207" spans="2:10" ht="13.5" customHeight="1">
      <c r="B207" s="156" t="s">
        <v>1347</v>
      </c>
      <c r="C207" s="19" t="s">
        <v>120</v>
      </c>
      <c r="D207" s="17" t="s">
        <v>1456</v>
      </c>
      <c r="E207" s="10">
        <v>44447</v>
      </c>
      <c r="F207" s="157">
        <v>2392127.19</v>
      </c>
      <c r="G207" s="10">
        <v>44447</v>
      </c>
      <c r="H207" s="157">
        <v>2392127.19</v>
      </c>
      <c r="I207" s="90">
        <f t="shared" si="2"/>
        <v>0</v>
      </c>
      <c r="J207" s="118" t="s">
        <v>1572</v>
      </c>
    </row>
    <row r="208" spans="2:10" ht="13.5" customHeight="1">
      <c r="B208" s="156"/>
      <c r="C208" s="19"/>
      <c r="D208" s="17"/>
      <c r="E208" s="10"/>
      <c r="F208" s="157"/>
      <c r="G208" s="10"/>
      <c r="H208" s="157"/>
      <c r="I208" s="90"/>
      <c r="J208" s="118"/>
    </row>
    <row r="209" spans="2:10">
      <c r="B209" s="156" t="s">
        <v>1348</v>
      </c>
      <c r="C209" s="19" t="s">
        <v>570</v>
      </c>
      <c r="D209" s="17" t="s">
        <v>632</v>
      </c>
      <c r="E209" s="10">
        <v>44203</v>
      </c>
      <c r="F209" s="157">
        <v>570000</v>
      </c>
      <c r="G209" s="10">
        <v>44203</v>
      </c>
      <c r="H209" s="157">
        <v>570000</v>
      </c>
      <c r="I209" s="90">
        <f t="shared" si="2"/>
        <v>0</v>
      </c>
      <c r="J209" s="118" t="s">
        <v>1572</v>
      </c>
    </row>
    <row r="210" spans="2:10">
      <c r="B210" s="156" t="s">
        <v>1348</v>
      </c>
      <c r="C210" s="19" t="s">
        <v>570</v>
      </c>
      <c r="D210" s="17" t="s">
        <v>1511</v>
      </c>
      <c r="E210" s="10">
        <v>44203</v>
      </c>
      <c r="F210" s="157">
        <v>880080</v>
      </c>
      <c r="G210" s="10">
        <v>44203</v>
      </c>
      <c r="H210" s="157">
        <v>880080</v>
      </c>
      <c r="I210" s="90">
        <f t="shared" si="2"/>
        <v>0</v>
      </c>
      <c r="J210" s="118" t="s">
        <v>1572</v>
      </c>
    </row>
    <row r="211" spans="2:10">
      <c r="B211" s="156" t="s">
        <v>1348</v>
      </c>
      <c r="C211" s="19" t="s">
        <v>570</v>
      </c>
      <c r="D211" s="17" t="s">
        <v>1512</v>
      </c>
      <c r="E211" s="10">
        <v>44203</v>
      </c>
      <c r="F211" s="157">
        <v>855000</v>
      </c>
      <c r="G211" s="10">
        <v>44203</v>
      </c>
      <c r="H211" s="157">
        <v>855000</v>
      </c>
      <c r="I211" s="90">
        <f t="shared" si="2"/>
        <v>0</v>
      </c>
      <c r="J211" s="118" t="s">
        <v>1572</v>
      </c>
    </row>
    <row r="212" spans="2:10">
      <c r="B212" s="156" t="s">
        <v>1348</v>
      </c>
      <c r="C212" s="19" t="s">
        <v>570</v>
      </c>
      <c r="D212" s="17" t="s">
        <v>1513</v>
      </c>
      <c r="E212" s="10">
        <v>44203</v>
      </c>
      <c r="F212" s="157">
        <v>1140000</v>
      </c>
      <c r="G212" s="10">
        <v>44203</v>
      </c>
      <c r="H212" s="157">
        <v>1140000</v>
      </c>
      <c r="I212" s="90">
        <f t="shared" si="2"/>
        <v>0</v>
      </c>
      <c r="J212" s="118" t="s">
        <v>1572</v>
      </c>
    </row>
    <row r="213" spans="2:10">
      <c r="B213" s="156" t="s">
        <v>1348</v>
      </c>
      <c r="C213" s="19" t="s">
        <v>570</v>
      </c>
      <c r="D213" s="17" t="s">
        <v>1514</v>
      </c>
      <c r="E213" s="10">
        <v>44203</v>
      </c>
      <c r="F213" s="157">
        <v>1425000</v>
      </c>
      <c r="G213" s="10">
        <v>44203</v>
      </c>
      <c r="H213" s="157">
        <v>1425000</v>
      </c>
      <c r="I213" s="90">
        <f t="shared" si="2"/>
        <v>0</v>
      </c>
      <c r="J213" s="118" t="s">
        <v>1572</v>
      </c>
    </row>
    <row r="214" spans="2:10">
      <c r="B214" s="156" t="s">
        <v>1348</v>
      </c>
      <c r="C214" s="19" t="s">
        <v>570</v>
      </c>
      <c r="D214" s="17" t="s">
        <v>1515</v>
      </c>
      <c r="E214" s="10">
        <v>44323</v>
      </c>
      <c r="F214" s="157">
        <v>1140000</v>
      </c>
      <c r="G214" s="10">
        <v>44323</v>
      </c>
      <c r="H214" s="157">
        <v>1140000</v>
      </c>
      <c r="I214" s="90">
        <f t="shared" si="2"/>
        <v>0</v>
      </c>
      <c r="J214" s="118" t="s">
        <v>1572</v>
      </c>
    </row>
    <row r="215" spans="2:10">
      <c r="B215" s="156" t="s">
        <v>1348</v>
      </c>
      <c r="C215" s="19" t="s">
        <v>570</v>
      </c>
      <c r="D215" s="17" t="s">
        <v>1516</v>
      </c>
      <c r="E215" s="10">
        <v>44415</v>
      </c>
      <c r="F215" s="157">
        <v>855000</v>
      </c>
      <c r="G215" s="10">
        <v>44415</v>
      </c>
      <c r="H215" s="157">
        <v>855000</v>
      </c>
      <c r="I215" s="90">
        <f t="shared" si="2"/>
        <v>0</v>
      </c>
      <c r="J215" s="118" t="s">
        <v>1572</v>
      </c>
    </row>
    <row r="216" spans="2:10">
      <c r="B216" s="156" t="s">
        <v>1348</v>
      </c>
      <c r="C216" s="19" t="s">
        <v>570</v>
      </c>
      <c r="D216" s="17" t="s">
        <v>1517</v>
      </c>
      <c r="E216" s="10">
        <v>44537</v>
      </c>
      <c r="F216" s="157">
        <v>1425000</v>
      </c>
      <c r="G216" s="10">
        <v>44537</v>
      </c>
      <c r="H216" s="157">
        <v>1425000</v>
      </c>
      <c r="I216" s="90">
        <f t="shared" si="2"/>
        <v>0</v>
      </c>
      <c r="J216" s="118" t="s">
        <v>1572</v>
      </c>
    </row>
    <row r="217" spans="2:10">
      <c r="B217" s="156" t="s">
        <v>1348</v>
      </c>
      <c r="C217" s="19" t="s">
        <v>570</v>
      </c>
      <c r="D217" s="17" t="s">
        <v>1475</v>
      </c>
      <c r="E217" s="10" t="s">
        <v>1474</v>
      </c>
      <c r="F217" s="157">
        <v>1140000</v>
      </c>
      <c r="G217" s="10" t="s">
        <v>1474</v>
      </c>
      <c r="H217" s="157">
        <v>1140000</v>
      </c>
      <c r="I217" s="90">
        <f t="shared" si="2"/>
        <v>0</v>
      </c>
      <c r="J217" s="118" t="s">
        <v>1572</v>
      </c>
    </row>
    <row r="218" spans="2:10">
      <c r="B218" s="156" t="s">
        <v>1348</v>
      </c>
      <c r="C218" s="19" t="s">
        <v>570</v>
      </c>
      <c r="D218" s="17" t="s">
        <v>1519</v>
      </c>
      <c r="E218" s="10">
        <v>44203</v>
      </c>
      <c r="F218" s="157">
        <v>1425000</v>
      </c>
      <c r="G218" s="10">
        <v>44203</v>
      </c>
      <c r="H218" s="157">
        <v>1425000</v>
      </c>
      <c r="I218" s="90">
        <f t="shared" si="2"/>
        <v>0</v>
      </c>
      <c r="J218" s="118" t="s">
        <v>1572</v>
      </c>
    </row>
    <row r="219" spans="2:10">
      <c r="B219" s="156" t="s">
        <v>1348</v>
      </c>
      <c r="C219" s="19" t="s">
        <v>570</v>
      </c>
      <c r="D219" s="17" t="s">
        <v>1520</v>
      </c>
      <c r="E219" s="10">
        <v>44203</v>
      </c>
      <c r="F219" s="157">
        <v>1425000</v>
      </c>
      <c r="G219" s="10">
        <v>44203</v>
      </c>
      <c r="H219" s="157">
        <v>1425000</v>
      </c>
      <c r="I219" s="90">
        <f t="shared" si="2"/>
        <v>0</v>
      </c>
      <c r="J219" s="118" t="s">
        <v>1572</v>
      </c>
    </row>
    <row r="220" spans="2:10">
      <c r="B220" s="156" t="s">
        <v>1348</v>
      </c>
      <c r="C220" s="19" t="s">
        <v>570</v>
      </c>
      <c r="D220" s="17" t="s">
        <v>1521</v>
      </c>
      <c r="E220" s="10">
        <v>44203</v>
      </c>
      <c r="F220" s="157">
        <v>1140000</v>
      </c>
      <c r="G220" s="10">
        <v>44203</v>
      </c>
      <c r="H220" s="157">
        <v>1140000</v>
      </c>
      <c r="I220" s="90">
        <f t="shared" si="2"/>
        <v>0</v>
      </c>
      <c r="J220" s="118" t="s">
        <v>1572</v>
      </c>
    </row>
    <row r="221" spans="2:10">
      <c r="B221" s="156"/>
      <c r="C221" s="19"/>
      <c r="D221" s="68"/>
      <c r="E221" s="68"/>
      <c r="F221" s="157"/>
      <c r="G221" s="10"/>
      <c r="H221" s="157"/>
      <c r="I221" s="90"/>
      <c r="J221" s="118"/>
    </row>
    <row r="222" spans="2:10">
      <c r="B222" s="156" t="s">
        <v>1691</v>
      </c>
      <c r="C222" s="19" t="s">
        <v>1380</v>
      </c>
      <c r="D222" s="17" t="s">
        <v>1693</v>
      </c>
      <c r="E222" s="10">
        <v>44294</v>
      </c>
      <c r="F222" s="32">
        <v>23579.74</v>
      </c>
      <c r="G222" s="10">
        <v>44294</v>
      </c>
      <c r="H222" s="32">
        <v>23579.74</v>
      </c>
      <c r="I222" s="90">
        <f>+F222-H222</f>
        <v>0</v>
      </c>
      <c r="J222" s="118" t="s">
        <v>1572</v>
      </c>
    </row>
    <row r="223" spans="2:10">
      <c r="B223" s="156" t="s">
        <v>1691</v>
      </c>
      <c r="C223" s="19" t="s">
        <v>1380</v>
      </c>
      <c r="D223" s="17" t="s">
        <v>1694</v>
      </c>
      <c r="E223" s="10">
        <v>44294</v>
      </c>
      <c r="F223" s="32">
        <v>466.02</v>
      </c>
      <c r="G223" s="10">
        <v>44294</v>
      </c>
      <c r="H223" s="32">
        <v>466.02</v>
      </c>
      <c r="I223" s="90">
        <f>+F223-H223</f>
        <v>0</v>
      </c>
      <c r="J223" s="118" t="s">
        <v>1572</v>
      </c>
    </row>
    <row r="224" spans="2:10">
      <c r="B224" s="156"/>
      <c r="C224" s="19"/>
      <c r="D224" s="17"/>
      <c r="E224" s="10"/>
      <c r="F224" s="32"/>
      <c r="G224" s="10"/>
      <c r="H224" s="32"/>
      <c r="I224" s="90"/>
      <c r="J224" s="118"/>
    </row>
    <row r="225" spans="2:10">
      <c r="B225" s="156" t="s">
        <v>1346</v>
      </c>
      <c r="C225" s="19" t="s">
        <v>923</v>
      </c>
      <c r="D225" s="17" t="s">
        <v>886</v>
      </c>
      <c r="E225" s="10">
        <v>44235</v>
      </c>
      <c r="F225" s="32">
        <v>2105400</v>
      </c>
      <c r="G225" s="10">
        <v>44235</v>
      </c>
      <c r="H225" s="32">
        <v>2105400</v>
      </c>
      <c r="I225" s="90">
        <f>+F225-H225</f>
        <v>0</v>
      </c>
      <c r="J225" s="118" t="s">
        <v>1572</v>
      </c>
    </row>
    <row r="226" spans="2:10">
      <c r="B226" s="31"/>
      <c r="C226" s="22"/>
      <c r="D226" s="41"/>
      <c r="E226" s="202"/>
      <c r="F226" s="32"/>
      <c r="G226" s="39"/>
      <c r="H226" s="90"/>
      <c r="I226" s="68"/>
      <c r="J226" s="68"/>
    </row>
    <row r="228" spans="2:10" ht="16.5" thickBot="1">
      <c r="B228" s="58" t="s">
        <v>472</v>
      </c>
      <c r="C228" s="57"/>
      <c r="D228" s="57"/>
      <c r="E228" s="203"/>
      <c r="F228" s="59">
        <f>SUM(F15:F226)</f>
        <v>72623867.169999987</v>
      </c>
      <c r="G228" s="33"/>
      <c r="H228" s="59">
        <f>SUM(H15:H226)</f>
        <v>72623867.169999987</v>
      </c>
      <c r="I228" s="59">
        <f>SUM(I15:I226)</f>
        <v>0</v>
      </c>
    </row>
    <row r="229" spans="2:10" ht="16.5" thickTop="1">
      <c r="B229" s="58"/>
      <c r="C229" s="57"/>
      <c r="D229" s="57"/>
      <c r="E229" s="203"/>
      <c r="F229" s="229"/>
      <c r="G229" s="33"/>
      <c r="H229" s="229"/>
      <c r="I229" s="229"/>
    </row>
    <row r="230" spans="2:10" ht="15.75">
      <c r="B230" s="58"/>
      <c r="C230" s="57"/>
      <c r="D230" s="57"/>
      <c r="E230" s="203"/>
      <c r="F230" s="229"/>
      <c r="G230" s="33"/>
      <c r="H230" s="229"/>
      <c r="I230" s="229"/>
    </row>
    <row r="231" spans="2:10" ht="15.75">
      <c r="B231" s="58"/>
      <c r="C231" s="57"/>
      <c r="D231" s="57"/>
      <c r="E231" s="203"/>
      <c r="F231" s="229"/>
      <c r="G231" s="33"/>
      <c r="H231" s="229"/>
      <c r="I231" s="229"/>
    </row>
    <row r="233" spans="2:10">
      <c r="F233" s="63"/>
      <c r="G233" s="33"/>
    </row>
    <row r="234" spans="2:10">
      <c r="F234" s="85"/>
    </row>
    <row r="237" spans="2:10">
      <c r="B237" s="180" t="s">
        <v>740</v>
      </c>
      <c r="C237" s="391" t="s">
        <v>876</v>
      </c>
      <c r="D237" s="391"/>
      <c r="E237" s="391"/>
      <c r="F237" s="391"/>
      <c r="G237" s="388" t="s">
        <v>877</v>
      </c>
      <c r="H237" s="388"/>
      <c r="I237" s="388"/>
      <c r="J237" s="388"/>
    </row>
    <row r="238" spans="2:10">
      <c r="B238" s="120" t="s">
        <v>741</v>
      </c>
      <c r="C238" s="389" t="s">
        <v>742</v>
      </c>
      <c r="D238" s="389"/>
      <c r="E238" s="389"/>
      <c r="F238" s="389"/>
      <c r="G238" s="390" t="s">
        <v>743</v>
      </c>
      <c r="H238" s="390"/>
      <c r="I238" s="390"/>
      <c r="J238" s="390"/>
    </row>
    <row r="239" spans="2:10">
      <c r="B239" s="116"/>
      <c r="C239" s="116"/>
      <c r="D239" s="116"/>
      <c r="E239" s="204"/>
      <c r="F239" s="119"/>
      <c r="G239" s="119"/>
    </row>
  </sheetData>
  <mergeCells count="6">
    <mergeCell ref="B10:J10"/>
    <mergeCell ref="B11:J11"/>
    <mergeCell ref="C237:F237"/>
    <mergeCell ref="G237:J237"/>
    <mergeCell ref="C238:F238"/>
    <mergeCell ref="G238:J23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74"/>
  <sheetViews>
    <sheetView topLeftCell="A1346" workbookViewId="0">
      <selection activeCell="B563" sqref="B563"/>
    </sheetView>
  </sheetViews>
  <sheetFormatPr baseColWidth="10" defaultColWidth="9.140625" defaultRowHeight="15"/>
  <cols>
    <col min="1" max="1" width="5.42578125" style="117" customWidth="1"/>
    <col min="2" max="2" width="45.7109375" style="1" customWidth="1"/>
    <col min="3" max="3" width="36.42578125" style="54" bestFit="1" customWidth="1"/>
    <col min="4" max="4" width="20" style="54" bestFit="1" customWidth="1"/>
    <col min="5" max="5" width="10.42578125" style="199" bestFit="1" customWidth="1"/>
    <col min="6" max="6" width="19.85546875" style="33" bestFit="1" customWidth="1"/>
    <col min="7" max="7" width="15" style="1" customWidth="1"/>
    <col min="8" max="8" width="14.28515625" style="110" bestFit="1" customWidth="1"/>
    <col min="9" max="9" width="20.5703125" style="117" bestFit="1" customWidth="1"/>
    <col min="10" max="10" width="10.7109375" style="117" bestFit="1" customWidth="1"/>
    <col min="11" max="16384" width="9.140625" style="117"/>
  </cols>
  <sheetData>
    <row r="2" spans="2:10">
      <c r="B2" s="5"/>
      <c r="C2" s="51"/>
      <c r="D2" s="51"/>
      <c r="F2" s="45"/>
    </row>
    <row r="3" spans="2:10">
      <c r="B3" s="5"/>
      <c r="C3" s="51"/>
      <c r="D3" s="51"/>
      <c r="F3" s="45"/>
    </row>
    <row r="4" spans="2:10">
      <c r="B4" s="5"/>
      <c r="C4" s="52"/>
      <c r="D4" s="52"/>
      <c r="F4" s="45"/>
    </row>
    <row r="5" spans="2:10">
      <c r="B5" s="5"/>
      <c r="C5" s="52"/>
      <c r="D5" s="52"/>
      <c r="F5" s="45"/>
    </row>
    <row r="6" spans="2:10">
      <c r="B6" s="5"/>
      <c r="C6" s="52"/>
      <c r="D6" s="52"/>
      <c r="F6" s="45"/>
    </row>
    <row r="7" spans="2:10">
      <c r="B7" s="5"/>
      <c r="C7" s="52"/>
      <c r="D7" s="52"/>
      <c r="F7" s="45"/>
    </row>
    <row r="8" spans="2:10">
      <c r="B8" s="5"/>
      <c r="C8" s="52"/>
      <c r="D8" s="52"/>
      <c r="F8" s="45"/>
    </row>
    <row r="9" spans="2:10" ht="15.75">
      <c r="B9" s="387" t="s">
        <v>1442</v>
      </c>
      <c r="C9" s="387"/>
      <c r="D9" s="387"/>
      <c r="E9" s="387"/>
      <c r="F9" s="387"/>
      <c r="G9" s="387"/>
      <c r="H9" s="387"/>
      <c r="I9" s="387"/>
      <c r="J9" s="387"/>
    </row>
    <row r="10" spans="2:10" ht="15.75">
      <c r="B10" s="387" t="s">
        <v>1443</v>
      </c>
      <c r="C10" s="387"/>
      <c r="D10" s="387"/>
      <c r="E10" s="387"/>
      <c r="F10" s="387"/>
      <c r="G10" s="387"/>
      <c r="H10" s="387"/>
      <c r="I10" s="387"/>
      <c r="J10" s="387"/>
    </row>
    <row r="11" spans="2:10">
      <c r="B11" s="3"/>
      <c r="C11" s="53"/>
      <c r="D11" s="53"/>
      <c r="E11" s="200"/>
      <c r="F11" s="46"/>
    </row>
    <row r="12" spans="2:10" ht="3.75" customHeight="1"/>
    <row r="13" spans="2:10" s="121" customFormat="1" ht="29.25" customHeight="1">
      <c r="B13" s="9" t="s">
        <v>1438</v>
      </c>
      <c r="C13" s="55" t="s">
        <v>3</v>
      </c>
      <c r="D13" s="9" t="s">
        <v>1439</v>
      </c>
      <c r="E13" s="92" t="s">
        <v>1440</v>
      </c>
      <c r="F13" s="47" t="s">
        <v>1441</v>
      </c>
      <c r="G13" s="65" t="s">
        <v>1048</v>
      </c>
      <c r="H13" s="47" t="s">
        <v>1049</v>
      </c>
      <c r="I13" s="47" t="s">
        <v>1050</v>
      </c>
      <c r="J13" s="9" t="s">
        <v>1051</v>
      </c>
    </row>
    <row r="14" spans="2:10">
      <c r="B14" s="7"/>
      <c r="C14" s="8"/>
      <c r="D14" s="8"/>
      <c r="E14" s="201"/>
      <c r="F14" s="48"/>
      <c r="G14" s="66"/>
    </row>
    <row r="15" spans="2:10">
      <c r="B15" s="13" t="s">
        <v>940</v>
      </c>
      <c r="C15" s="19" t="s">
        <v>107</v>
      </c>
      <c r="D15" s="16" t="s">
        <v>941</v>
      </c>
      <c r="E15" s="10">
        <v>44292</v>
      </c>
      <c r="F15" s="32">
        <v>58233</v>
      </c>
      <c r="G15" s="10">
        <v>44292</v>
      </c>
      <c r="H15" s="90">
        <f>IF(F15&gt;0,0,"")</f>
        <v>0</v>
      </c>
      <c r="I15" s="90">
        <f>IF(H15=0,F15,"")</f>
        <v>58233</v>
      </c>
      <c r="J15" s="118" t="str">
        <f>IF(I15&gt;0,"ATRASADO","")</f>
        <v>ATRASADO</v>
      </c>
    </row>
    <row r="16" spans="2:10">
      <c r="B16" s="13"/>
      <c r="C16" s="19"/>
      <c r="D16" s="16"/>
      <c r="E16" s="10"/>
      <c r="F16" s="32"/>
      <c r="G16" s="10"/>
    </row>
    <row r="17" spans="2:10">
      <c r="B17" s="13" t="s">
        <v>995</v>
      </c>
      <c r="C17" s="19" t="s">
        <v>997</v>
      </c>
      <c r="D17" s="16" t="s">
        <v>996</v>
      </c>
      <c r="E17" s="10">
        <v>44235</v>
      </c>
      <c r="F17" s="32">
        <v>139523.20000000001</v>
      </c>
      <c r="G17" s="10">
        <v>44235</v>
      </c>
      <c r="H17" s="90">
        <f>IF(F17&gt;0,0,"")</f>
        <v>0</v>
      </c>
      <c r="I17" s="90">
        <f>IF(H17=0,F17,"")</f>
        <v>139523.20000000001</v>
      </c>
      <c r="J17" s="118" t="str">
        <f>IF(I17&gt;0,"ATRASADO","")</f>
        <v>ATRASADO</v>
      </c>
    </row>
    <row r="18" spans="2:10">
      <c r="B18" s="13"/>
      <c r="C18" s="19"/>
      <c r="D18" s="16"/>
      <c r="E18" s="10"/>
      <c r="F18" s="32"/>
      <c r="G18" s="10"/>
    </row>
    <row r="19" spans="2:10">
      <c r="B19" s="13" t="s">
        <v>990</v>
      </c>
      <c r="C19" s="19" t="s">
        <v>102</v>
      </c>
      <c r="D19" s="16" t="s">
        <v>998</v>
      </c>
      <c r="E19" s="10">
        <v>44235</v>
      </c>
      <c r="F19" s="32">
        <v>23600</v>
      </c>
      <c r="G19" s="10">
        <v>44235</v>
      </c>
      <c r="H19" s="90">
        <f>IF(F19&gt;0,0,"")</f>
        <v>0</v>
      </c>
      <c r="I19" s="90">
        <f>IF(H19=0,F19,"")</f>
        <v>23600</v>
      </c>
      <c r="J19" s="118" t="str">
        <f>IF(I19&gt;0,"ATRASADO","")</f>
        <v>ATRASADO</v>
      </c>
    </row>
    <row r="20" spans="2:10">
      <c r="B20" s="13"/>
      <c r="C20" s="19"/>
      <c r="D20" s="16"/>
      <c r="E20" s="10"/>
      <c r="F20" s="32"/>
      <c r="G20" s="10"/>
    </row>
    <row r="21" spans="2:10">
      <c r="B21" s="13" t="s">
        <v>106</v>
      </c>
      <c r="C21" s="19" t="s">
        <v>107</v>
      </c>
      <c r="D21" s="16">
        <v>100000531</v>
      </c>
      <c r="E21" s="10">
        <v>41345</v>
      </c>
      <c r="F21" s="32">
        <v>43630.5</v>
      </c>
      <c r="G21" s="10">
        <v>41345</v>
      </c>
      <c r="H21" s="90">
        <f>IF(F21&gt;0,0,"")</f>
        <v>0</v>
      </c>
      <c r="I21" s="90">
        <f>IF(H21=0,F21,"")</f>
        <v>43630.5</v>
      </c>
      <c r="J21" s="118" t="str">
        <f>IF(I21&gt;0,"ATRASADO","")</f>
        <v>ATRASADO</v>
      </c>
    </row>
    <row r="22" spans="2:10">
      <c r="B22" s="13"/>
      <c r="C22" s="19"/>
      <c r="D22" s="16"/>
      <c r="E22" s="10"/>
      <c r="F22" s="32"/>
      <c r="G22" s="10"/>
    </row>
    <row r="23" spans="2:10">
      <c r="B23" s="13" t="s">
        <v>113</v>
      </c>
      <c r="C23" s="19" t="s">
        <v>114</v>
      </c>
      <c r="D23" s="17">
        <v>1500000003</v>
      </c>
      <c r="E23" s="10">
        <v>42545</v>
      </c>
      <c r="F23" s="32">
        <v>169235.39</v>
      </c>
      <c r="G23" s="10">
        <v>42545</v>
      </c>
      <c r="H23" s="90">
        <f>IF(F23&gt;0,0,"")</f>
        <v>0</v>
      </c>
      <c r="I23" s="90">
        <f>IF(H23=0,F23,"")</f>
        <v>169235.39</v>
      </c>
      <c r="J23" s="118" t="str">
        <f>IF(I23&gt;0,"ATRASADO","")</f>
        <v>ATRASADO</v>
      </c>
    </row>
    <row r="24" spans="2:10">
      <c r="B24" s="13" t="s">
        <v>113</v>
      </c>
      <c r="C24" s="19" t="s">
        <v>114</v>
      </c>
      <c r="D24" s="17">
        <v>1500000004</v>
      </c>
      <c r="E24" s="10">
        <v>42545</v>
      </c>
      <c r="F24" s="32">
        <v>119551.7</v>
      </c>
      <c r="G24" s="10">
        <v>42545</v>
      </c>
      <c r="H24" s="90">
        <f>IF(F24&gt;0,0,"")</f>
        <v>0</v>
      </c>
      <c r="I24" s="90">
        <f>IF(H24=0,F24,"")</f>
        <v>119551.7</v>
      </c>
      <c r="J24" s="118" t="str">
        <f>IF(I24&gt;0,"ATRASADO","")</f>
        <v>ATRASADO</v>
      </c>
    </row>
    <row r="25" spans="2:10">
      <c r="B25" s="13"/>
      <c r="C25" s="19"/>
      <c r="D25" s="17"/>
      <c r="E25" s="10"/>
      <c r="F25" s="32"/>
      <c r="G25" s="10"/>
    </row>
    <row r="26" spans="2:10">
      <c r="B26" s="13" t="s">
        <v>999</v>
      </c>
      <c r="C26" s="19" t="s">
        <v>705</v>
      </c>
      <c r="D26" s="16" t="s">
        <v>1000</v>
      </c>
      <c r="E26" s="10" t="s">
        <v>1003</v>
      </c>
      <c r="F26" s="32">
        <v>23600</v>
      </c>
      <c r="G26" s="10" t="s">
        <v>1003</v>
      </c>
      <c r="H26" s="90">
        <f>IF(F26&gt;0,0,"")</f>
        <v>0</v>
      </c>
      <c r="I26" s="90">
        <f>IF(H26=0,F26,"")</f>
        <v>23600</v>
      </c>
      <c r="J26" s="118" t="str">
        <f>IF(I26&gt;0,"ATRASADO","")</f>
        <v>ATRASADO</v>
      </c>
    </row>
    <row r="27" spans="2:10">
      <c r="B27" s="13" t="s">
        <v>999</v>
      </c>
      <c r="C27" s="19" t="s">
        <v>705</v>
      </c>
      <c r="D27" s="16" t="s">
        <v>1001</v>
      </c>
      <c r="E27" s="10" t="s">
        <v>1002</v>
      </c>
      <c r="F27" s="32">
        <v>35394.1</v>
      </c>
      <c r="G27" s="10" t="s">
        <v>1002</v>
      </c>
      <c r="H27" s="90">
        <f>IF(F27&gt;0,0,"")</f>
        <v>0</v>
      </c>
      <c r="I27" s="90">
        <f>IF(H27=0,F27,"")</f>
        <v>35394.1</v>
      </c>
      <c r="J27" s="118" t="str">
        <f>IF(I27&gt;0,"ATRASADO","")</f>
        <v>ATRASADO</v>
      </c>
    </row>
    <row r="28" spans="2:10">
      <c r="B28" s="13"/>
      <c r="C28" s="19"/>
      <c r="D28" s="17"/>
      <c r="E28" s="10"/>
      <c r="F28" s="32"/>
      <c r="G28" s="10"/>
    </row>
    <row r="29" spans="2:10">
      <c r="B29" s="13" t="s">
        <v>689</v>
      </c>
      <c r="C29" s="19" t="s">
        <v>597</v>
      </c>
      <c r="D29" s="17" t="s">
        <v>693</v>
      </c>
      <c r="E29" s="10">
        <v>43470</v>
      </c>
      <c r="F29" s="32">
        <v>16972.2</v>
      </c>
      <c r="G29" s="10">
        <v>43470</v>
      </c>
      <c r="H29" s="90">
        <f>IF(F29&gt;0,0,"")</f>
        <v>0</v>
      </c>
      <c r="I29" s="90">
        <f>IF(H29=0,F29,"")</f>
        <v>16972.2</v>
      </c>
      <c r="J29" s="118" t="str">
        <f>IF(I29&gt;0,"ATRASADO","")</f>
        <v>ATRASADO</v>
      </c>
    </row>
    <row r="30" spans="2:10">
      <c r="B30" s="13" t="s">
        <v>689</v>
      </c>
      <c r="C30" s="19" t="s">
        <v>597</v>
      </c>
      <c r="D30" s="17" t="s">
        <v>691</v>
      </c>
      <c r="E30" s="10">
        <v>43501</v>
      </c>
      <c r="F30" s="32">
        <v>5945.08</v>
      </c>
      <c r="G30" s="10">
        <v>43501</v>
      </c>
      <c r="H30" s="90">
        <f>IF(F30&gt;0,0,"")</f>
        <v>0</v>
      </c>
      <c r="I30" s="90">
        <f>IF(H30=0,F30,"")</f>
        <v>5945.08</v>
      </c>
      <c r="J30" s="118" t="str">
        <f>IF(I30&gt;0,"ATRASADO","")</f>
        <v>ATRASADO</v>
      </c>
    </row>
    <row r="31" spans="2:10">
      <c r="B31" s="13" t="s">
        <v>689</v>
      </c>
      <c r="C31" s="19" t="s">
        <v>597</v>
      </c>
      <c r="D31" s="17" t="s">
        <v>692</v>
      </c>
      <c r="E31" s="10">
        <v>43529</v>
      </c>
      <c r="F31" s="32">
        <v>6224.29</v>
      </c>
      <c r="G31" s="10">
        <v>43529</v>
      </c>
      <c r="H31" s="90">
        <f>IF(F31&gt;0,0,"")</f>
        <v>0</v>
      </c>
      <c r="I31" s="90">
        <f>IF(H31=0,F31,"")</f>
        <v>6224.29</v>
      </c>
      <c r="J31" s="118" t="str">
        <f>IF(I31&gt;0,"ATRASADO","")</f>
        <v>ATRASADO</v>
      </c>
    </row>
    <row r="32" spans="2:10">
      <c r="B32" s="13" t="s">
        <v>689</v>
      </c>
      <c r="C32" s="19" t="s">
        <v>597</v>
      </c>
      <c r="D32" s="17" t="s">
        <v>690</v>
      </c>
      <c r="E32" s="10">
        <v>43560</v>
      </c>
      <c r="F32" s="32">
        <v>6001.8</v>
      </c>
      <c r="G32" s="10">
        <v>43560</v>
      </c>
      <c r="H32" s="90">
        <f>IF(F32&gt;0,0,"")</f>
        <v>0</v>
      </c>
      <c r="I32" s="90">
        <f>IF(H32=0,F32,"")</f>
        <v>6001.8</v>
      </c>
      <c r="J32" s="118" t="str">
        <f>IF(I32&gt;0,"ATRASADO","")</f>
        <v>ATRASADO</v>
      </c>
    </row>
    <row r="33" spans="2:10">
      <c r="B33" s="13"/>
      <c r="C33" s="19"/>
      <c r="D33" s="17"/>
      <c r="E33" s="10"/>
      <c r="F33" s="32"/>
      <c r="G33" s="10"/>
    </row>
    <row r="34" spans="2:10">
      <c r="B34" s="13" t="s">
        <v>482</v>
      </c>
      <c r="C34" s="19" t="s">
        <v>576</v>
      </c>
      <c r="D34" s="17" t="s">
        <v>744</v>
      </c>
      <c r="E34" s="10">
        <v>43838</v>
      </c>
      <c r="F34" s="32">
        <v>23600</v>
      </c>
      <c r="G34" s="10">
        <v>43838</v>
      </c>
      <c r="H34" s="90">
        <f>IF(F34&gt;0,0,"")</f>
        <v>0</v>
      </c>
      <c r="I34" s="90">
        <f>IF(H34=0,F34,"")</f>
        <v>23600</v>
      </c>
      <c r="J34" s="118" t="str">
        <f>IF(I34&gt;0,"ATRASADO","")</f>
        <v>ATRASADO</v>
      </c>
    </row>
    <row r="35" spans="2:10">
      <c r="B35" s="13"/>
      <c r="C35" s="19"/>
      <c r="D35" s="25"/>
      <c r="E35" s="10"/>
      <c r="F35" s="32"/>
      <c r="G35" s="10"/>
    </row>
    <row r="36" spans="2:10">
      <c r="B36" s="13" t="s">
        <v>700</v>
      </c>
      <c r="C36" s="19" t="s">
        <v>701</v>
      </c>
      <c r="D36" s="16">
        <v>1500000048</v>
      </c>
      <c r="E36" s="11">
        <v>41470</v>
      </c>
      <c r="F36" s="32">
        <v>213626</v>
      </c>
      <c r="G36" s="11">
        <v>41470</v>
      </c>
      <c r="H36" s="90">
        <f>IF(F36&gt;0,0,"")</f>
        <v>0</v>
      </c>
      <c r="I36" s="90">
        <f>IF(H36=0,F36,"")</f>
        <v>213626</v>
      </c>
      <c r="J36" s="118" t="str">
        <f>IF(I36&gt;0,"ATRASADO","")</f>
        <v>ATRASADO</v>
      </c>
    </row>
    <row r="37" spans="2:10">
      <c r="B37" s="13"/>
      <c r="C37" s="19"/>
      <c r="D37" s="25"/>
      <c r="E37" s="10"/>
      <c r="F37" s="32"/>
      <c r="G37" s="10"/>
    </row>
    <row r="38" spans="2:10">
      <c r="B38" s="225" t="s">
        <v>914</v>
      </c>
      <c r="C38" s="19" t="s">
        <v>705</v>
      </c>
      <c r="D38" s="25" t="s">
        <v>1444</v>
      </c>
      <c r="E38" s="10">
        <v>44201</v>
      </c>
      <c r="F38" s="32">
        <v>24249</v>
      </c>
      <c r="G38" s="10">
        <v>44201</v>
      </c>
      <c r="H38" s="90">
        <v>24249</v>
      </c>
      <c r="I38" s="90">
        <f>+F38-H38</f>
        <v>0</v>
      </c>
      <c r="J38" s="118" t="s">
        <v>1572</v>
      </c>
    </row>
    <row r="39" spans="2:10">
      <c r="B39" s="107" t="s">
        <v>914</v>
      </c>
      <c r="C39" s="19" t="s">
        <v>705</v>
      </c>
      <c r="D39" s="25" t="s">
        <v>952</v>
      </c>
      <c r="E39" s="10">
        <v>44203</v>
      </c>
      <c r="F39" s="32">
        <v>684400</v>
      </c>
      <c r="G39" s="10">
        <v>44203</v>
      </c>
      <c r="H39" s="90">
        <v>684400</v>
      </c>
      <c r="I39" s="90">
        <f>+F39-H39</f>
        <v>0</v>
      </c>
      <c r="J39" s="118" t="s">
        <v>1572</v>
      </c>
    </row>
    <row r="40" spans="2:10">
      <c r="B40" s="13"/>
      <c r="C40" s="19"/>
      <c r="D40" s="25"/>
      <c r="E40" s="10"/>
      <c r="F40" s="32"/>
      <c r="G40" s="10"/>
    </row>
    <row r="41" spans="2:10">
      <c r="B41" s="13" t="s">
        <v>988</v>
      </c>
      <c r="C41" s="19" t="s">
        <v>935</v>
      </c>
      <c r="D41" s="25" t="s">
        <v>1005</v>
      </c>
      <c r="E41" s="10">
        <v>44204</v>
      </c>
      <c r="F41" s="32">
        <v>440631.53</v>
      </c>
      <c r="G41" s="10">
        <v>44204</v>
      </c>
      <c r="H41" s="90">
        <f>IF(F41&gt;0,0,"")</f>
        <v>0</v>
      </c>
      <c r="I41" s="90">
        <f>IF(H41=0,F41,"")</f>
        <v>440631.53</v>
      </c>
      <c r="J41" s="118" t="str">
        <f>IF(I41&gt;0,"ATRASADO","")</f>
        <v>ATRASADO</v>
      </c>
    </row>
    <row r="42" spans="2:10">
      <c r="B42" s="13"/>
      <c r="C42" s="19"/>
      <c r="D42" s="25"/>
      <c r="E42" s="10"/>
      <c r="F42" s="32"/>
      <c r="G42" s="10"/>
    </row>
    <row r="43" spans="2:10">
      <c r="B43" s="226" t="s">
        <v>1573</v>
      </c>
      <c r="C43" s="19" t="s">
        <v>120</v>
      </c>
      <c r="D43" s="25" t="s">
        <v>1574</v>
      </c>
      <c r="E43" s="10">
        <v>44355</v>
      </c>
      <c r="F43" s="32">
        <v>1087075</v>
      </c>
      <c r="G43" s="10">
        <v>44355</v>
      </c>
      <c r="H43" s="32">
        <v>1087075</v>
      </c>
      <c r="I43" s="90">
        <f>+F43-H43</f>
        <v>0</v>
      </c>
      <c r="J43" s="118" t="s">
        <v>1572</v>
      </c>
    </row>
    <row r="44" spans="2:10">
      <c r="B44" s="13"/>
      <c r="C44" s="19"/>
      <c r="D44" s="25"/>
      <c r="E44" s="10"/>
      <c r="F44" s="32"/>
      <c r="G44" s="10"/>
    </row>
    <row r="45" spans="2:10">
      <c r="B45" s="13" t="s">
        <v>870</v>
      </c>
      <c r="C45" s="19" t="s">
        <v>871</v>
      </c>
      <c r="D45" s="25" t="s">
        <v>974</v>
      </c>
      <c r="E45" s="10" t="s">
        <v>972</v>
      </c>
      <c r="F45" s="32">
        <v>193000</v>
      </c>
      <c r="G45" s="10" t="s">
        <v>972</v>
      </c>
      <c r="H45" s="90">
        <f>IF(F45&gt;0,0,"")</f>
        <v>0</v>
      </c>
      <c r="I45" s="90">
        <f>IF(H45=0,F45,"")</f>
        <v>193000</v>
      </c>
      <c r="J45" s="118" t="str">
        <f>IF(I45&gt;0,"ATRASADO","")</f>
        <v>ATRASADO</v>
      </c>
    </row>
    <row r="46" spans="2:10">
      <c r="B46" s="13" t="s">
        <v>870</v>
      </c>
      <c r="C46" s="19" t="s">
        <v>871</v>
      </c>
      <c r="D46" s="25" t="s">
        <v>1042</v>
      </c>
      <c r="E46" s="10" t="s">
        <v>1044</v>
      </c>
      <c r="F46" s="32">
        <v>194800</v>
      </c>
      <c r="G46" s="10" t="s">
        <v>1044</v>
      </c>
      <c r="H46" s="90">
        <f>IF(F46&gt;0,0,"")</f>
        <v>0</v>
      </c>
      <c r="I46" s="90">
        <f>IF(H46=0,F46,"")</f>
        <v>194800</v>
      </c>
      <c r="J46" s="118" t="str">
        <f>IF(I46&gt;0,"ATRASADO","")</f>
        <v>ATRASADO</v>
      </c>
    </row>
    <row r="47" spans="2:10">
      <c r="B47" s="13"/>
      <c r="C47" s="19"/>
      <c r="D47" s="25"/>
      <c r="E47" s="10"/>
      <c r="F47" s="32"/>
      <c r="G47" s="10"/>
    </row>
    <row r="48" spans="2:10" ht="24.75">
      <c r="B48" s="13" t="s">
        <v>109</v>
      </c>
      <c r="C48" s="19" t="s">
        <v>110</v>
      </c>
      <c r="D48" s="25" t="s">
        <v>974</v>
      </c>
      <c r="E48" s="10" t="s">
        <v>978</v>
      </c>
      <c r="F48" s="32">
        <v>25777.5</v>
      </c>
      <c r="G48" s="10" t="s">
        <v>978</v>
      </c>
      <c r="H48" s="90">
        <f>IF(F48&gt;0,0,"")</f>
        <v>0</v>
      </c>
      <c r="I48" s="90">
        <f>IF(H48=0,F48,"")</f>
        <v>25777.5</v>
      </c>
      <c r="J48" s="118" t="str">
        <f>IF(I48&gt;0,"ATRASADO","")</f>
        <v>ATRASADO</v>
      </c>
    </row>
    <row r="49" spans="2:10" ht="24.75">
      <c r="B49" s="13" t="s">
        <v>109</v>
      </c>
      <c r="C49" s="19" t="s">
        <v>110</v>
      </c>
      <c r="D49" s="25" t="s">
        <v>1042</v>
      </c>
      <c r="E49" s="10" t="s">
        <v>1035</v>
      </c>
      <c r="F49" s="32">
        <v>25747.5</v>
      </c>
      <c r="G49" s="10" t="s">
        <v>978</v>
      </c>
      <c r="H49" s="90">
        <f>IF(F49&gt;0,0,"")</f>
        <v>0</v>
      </c>
      <c r="I49" s="90">
        <f>IF(H49=0,F49,"")</f>
        <v>25747.5</v>
      </c>
      <c r="J49" s="118" t="str">
        <f>IF(I49&gt;0,"ATRASADO","")</f>
        <v>ATRASADO</v>
      </c>
    </row>
    <row r="50" spans="2:10">
      <c r="B50" s="13"/>
      <c r="C50" s="19"/>
      <c r="D50" s="25"/>
      <c r="E50" s="10"/>
      <c r="F50" s="32"/>
      <c r="G50" s="26"/>
    </row>
    <row r="51" spans="2:10">
      <c r="B51" s="226" t="s">
        <v>1575</v>
      </c>
      <c r="C51" s="19" t="s">
        <v>1576</v>
      </c>
      <c r="D51" s="25" t="s">
        <v>1577</v>
      </c>
      <c r="E51" s="10">
        <v>44263</v>
      </c>
      <c r="F51" s="32">
        <v>6420</v>
      </c>
      <c r="G51" s="26" t="s">
        <v>1578</v>
      </c>
      <c r="H51" s="110">
        <v>6420</v>
      </c>
      <c r="I51" s="90">
        <f>+F51-H51</f>
        <v>0</v>
      </c>
      <c r="J51" s="118" t="s">
        <v>1572</v>
      </c>
    </row>
    <row r="52" spans="2:10">
      <c r="B52" s="13"/>
      <c r="C52" s="19"/>
      <c r="D52" s="25"/>
      <c r="E52" s="10"/>
      <c r="F52" s="32"/>
      <c r="G52" s="26"/>
    </row>
    <row r="53" spans="2:10">
      <c r="B53" s="13" t="s">
        <v>284</v>
      </c>
      <c r="C53" s="19" t="s">
        <v>115</v>
      </c>
      <c r="D53" s="16">
        <v>16431132</v>
      </c>
      <c r="E53" s="10">
        <v>41676</v>
      </c>
      <c r="F53" s="32">
        <v>1200</v>
      </c>
      <c r="G53" s="10">
        <v>41676</v>
      </c>
      <c r="H53" s="90">
        <f>IF(F53&gt;0,0,"")</f>
        <v>0</v>
      </c>
      <c r="I53" s="90">
        <f>IF(H53=0,F53,"")</f>
        <v>1200</v>
      </c>
      <c r="J53" s="118" t="str">
        <f>IF(I53&gt;0,"ATRASADO","")</f>
        <v>ATRASADO</v>
      </c>
    </row>
    <row r="54" spans="2:10">
      <c r="B54" s="13" t="s">
        <v>284</v>
      </c>
      <c r="C54" s="19" t="s">
        <v>115</v>
      </c>
      <c r="D54" s="41">
        <v>723870002</v>
      </c>
      <c r="E54" s="10">
        <v>40968</v>
      </c>
      <c r="F54" s="32">
        <v>30000</v>
      </c>
      <c r="G54" s="26">
        <v>40968</v>
      </c>
      <c r="H54" s="90">
        <f>IF(F54&gt;0,0,"")</f>
        <v>0</v>
      </c>
      <c r="I54" s="90">
        <f>IF(H54=0,F54,"")</f>
        <v>30000</v>
      </c>
      <c r="J54" s="118" t="str">
        <f>IF(I54&gt;0,"ATRASADO","")</f>
        <v>ATRASADO</v>
      </c>
    </row>
    <row r="55" spans="2:10">
      <c r="B55" s="13" t="s">
        <v>284</v>
      </c>
      <c r="C55" s="19" t="s">
        <v>115</v>
      </c>
      <c r="D55" s="41">
        <v>12310523</v>
      </c>
      <c r="E55" s="10">
        <v>40999</v>
      </c>
      <c r="F55" s="32">
        <v>13150</v>
      </c>
      <c r="G55" s="26">
        <v>40999</v>
      </c>
      <c r="H55" s="90">
        <f>IF(F55&gt;0,0,"")</f>
        <v>0</v>
      </c>
      <c r="I55" s="90">
        <f>IF(H55=0,F55,"")</f>
        <v>13150</v>
      </c>
      <c r="J55" s="118" t="str">
        <f>IF(I55&gt;0,"ATRASADO","")</f>
        <v>ATRASADO</v>
      </c>
    </row>
    <row r="56" spans="2:10">
      <c r="B56" s="13" t="s">
        <v>284</v>
      </c>
      <c r="C56" s="19" t="s">
        <v>115</v>
      </c>
      <c r="D56" s="41">
        <v>13319967</v>
      </c>
      <c r="E56" s="10">
        <v>41060</v>
      </c>
      <c r="F56" s="32">
        <v>4681</v>
      </c>
      <c r="G56" s="26">
        <v>41060</v>
      </c>
      <c r="H56" s="90">
        <f>IF(F56&gt;0,0,"")</f>
        <v>0</v>
      </c>
      <c r="I56" s="90">
        <f>IF(H56=0,F56,"")</f>
        <v>4681</v>
      </c>
      <c r="J56" s="118" t="str">
        <f>IF(I56&gt;0,"ATRASADO","")</f>
        <v>ATRASADO</v>
      </c>
    </row>
    <row r="57" spans="2:10">
      <c r="B57" s="13"/>
      <c r="C57" s="19"/>
      <c r="D57" s="17"/>
      <c r="E57" s="10"/>
      <c r="F57" s="32"/>
      <c r="G57" s="10"/>
    </row>
    <row r="58" spans="2:10">
      <c r="B58" s="13" t="s">
        <v>116</v>
      </c>
      <c r="C58" s="19" t="s">
        <v>115</v>
      </c>
      <c r="D58" s="16" t="s">
        <v>117</v>
      </c>
      <c r="E58" s="10">
        <v>41579</v>
      </c>
      <c r="F58" s="32">
        <v>3000</v>
      </c>
      <c r="G58" s="10">
        <v>41579</v>
      </c>
      <c r="H58" s="90">
        <f>IF(F58&gt;0,0,"")</f>
        <v>0</v>
      </c>
      <c r="I58" s="90">
        <f>IF(H58=0,F58,"")</f>
        <v>3000</v>
      </c>
      <c r="J58" s="118" t="str">
        <f>IF(I58&gt;0,"ATRASADO","")</f>
        <v>ATRASADO</v>
      </c>
    </row>
    <row r="59" spans="2:10">
      <c r="B59" s="13" t="s">
        <v>116</v>
      </c>
      <c r="C59" s="19" t="s">
        <v>115</v>
      </c>
      <c r="D59" s="16" t="s">
        <v>118</v>
      </c>
      <c r="E59" s="10">
        <v>41609</v>
      </c>
      <c r="F59" s="32">
        <v>3000</v>
      </c>
      <c r="G59" s="10">
        <v>41609</v>
      </c>
      <c r="H59" s="90">
        <f>IF(F59&gt;0,0,"")</f>
        <v>0</v>
      </c>
      <c r="I59" s="90">
        <f>IF(H59=0,F59,"")</f>
        <v>3000</v>
      </c>
      <c r="J59" s="118" t="str">
        <f>IF(I59&gt;0,"ATRASADO","")</f>
        <v>ATRASADO</v>
      </c>
    </row>
    <row r="60" spans="2:10">
      <c r="B60" s="13" t="s">
        <v>116</v>
      </c>
      <c r="C60" s="19" t="s">
        <v>115</v>
      </c>
      <c r="D60" s="16" t="s">
        <v>119</v>
      </c>
      <c r="E60" s="10">
        <v>41684</v>
      </c>
      <c r="F60" s="32">
        <v>3145</v>
      </c>
      <c r="G60" s="10">
        <v>41684</v>
      </c>
      <c r="H60" s="90">
        <f>IF(F60&gt;0,0,"")</f>
        <v>0</v>
      </c>
      <c r="I60" s="90">
        <f>IF(H60=0,F60,"")</f>
        <v>3145</v>
      </c>
      <c r="J60" s="118" t="str">
        <f>IF(I60&gt;0,"ATRASADO","")</f>
        <v>ATRASADO</v>
      </c>
    </row>
    <row r="61" spans="2:10">
      <c r="B61" s="13"/>
      <c r="C61" s="19"/>
      <c r="D61" s="16"/>
      <c r="E61" s="10"/>
      <c r="F61" s="32"/>
      <c r="G61" s="10"/>
    </row>
    <row r="62" spans="2:10">
      <c r="B62" s="13" t="s">
        <v>708</v>
      </c>
      <c r="C62" s="19" t="s">
        <v>115</v>
      </c>
      <c r="D62" s="16" t="s">
        <v>715</v>
      </c>
      <c r="E62" s="10">
        <v>43709</v>
      </c>
      <c r="F62" s="32">
        <v>5000</v>
      </c>
      <c r="G62" s="10">
        <v>43709</v>
      </c>
      <c r="H62" s="90">
        <f>IF(F62&gt;0,0,"")</f>
        <v>0</v>
      </c>
      <c r="I62" s="90">
        <f>IF(H62=0,F62,"")</f>
        <v>5000</v>
      </c>
      <c r="J62" s="118" t="str">
        <f>IF(I62&gt;0,"ATRASADO","")</f>
        <v>ATRASADO</v>
      </c>
    </row>
    <row r="63" spans="2:10">
      <c r="B63" s="13" t="s">
        <v>708</v>
      </c>
      <c r="C63" s="19" t="s">
        <v>115</v>
      </c>
      <c r="D63" s="16" t="s">
        <v>899</v>
      </c>
      <c r="E63" s="10">
        <v>44287</v>
      </c>
      <c r="F63" s="32">
        <v>5000</v>
      </c>
      <c r="G63" s="10">
        <v>44287</v>
      </c>
      <c r="H63" s="90">
        <f>IF(F63&gt;0,0,"")</f>
        <v>0</v>
      </c>
      <c r="I63" s="90">
        <f>IF(H63=0,F63,"")</f>
        <v>5000</v>
      </c>
      <c r="J63" s="118" t="str">
        <f>IF(I63&gt;0,"ATRASADO","")</f>
        <v>ATRASADO</v>
      </c>
    </row>
    <row r="64" spans="2:10">
      <c r="B64" s="13" t="s">
        <v>708</v>
      </c>
      <c r="C64" s="19" t="s">
        <v>115</v>
      </c>
      <c r="D64" s="16" t="s">
        <v>900</v>
      </c>
      <c r="E64" s="10" t="s">
        <v>901</v>
      </c>
      <c r="F64" s="32">
        <v>315000</v>
      </c>
      <c r="G64" s="10" t="s">
        <v>901</v>
      </c>
      <c r="H64" s="90">
        <f>IF(F64&gt;0,0,"")</f>
        <v>0</v>
      </c>
      <c r="I64" s="90">
        <f>IF(H64=0,F64,"")</f>
        <v>315000</v>
      </c>
      <c r="J64" s="118" t="str">
        <f>IF(I64&gt;0,"ATRASADO","")</f>
        <v>ATRASADO</v>
      </c>
    </row>
    <row r="65" spans="2:10">
      <c r="B65" s="13"/>
      <c r="C65" s="19"/>
      <c r="D65" s="16"/>
      <c r="E65" s="20"/>
      <c r="F65" s="32"/>
      <c r="G65" s="20"/>
    </row>
    <row r="66" spans="2:10">
      <c r="B66" s="13" t="s">
        <v>36</v>
      </c>
      <c r="C66" s="19" t="s">
        <v>21</v>
      </c>
      <c r="D66" s="16" t="s">
        <v>35</v>
      </c>
      <c r="E66" s="10">
        <v>41415</v>
      </c>
      <c r="F66" s="32">
        <f>313497.12-125000</f>
        <v>188497.12</v>
      </c>
      <c r="G66" s="10">
        <v>41415</v>
      </c>
      <c r="H66" s="90">
        <f>IF(F66&gt;0,0,"")</f>
        <v>0</v>
      </c>
      <c r="I66" s="90">
        <f>IF(H66=0,F66,"")</f>
        <v>188497.12</v>
      </c>
      <c r="J66" s="118" t="str">
        <f>IF(I66&gt;0,"ATRASADO","")</f>
        <v>ATRASADO</v>
      </c>
    </row>
    <row r="67" spans="2:10">
      <c r="B67" s="13"/>
      <c r="C67" s="19"/>
      <c r="D67" s="16"/>
      <c r="E67" s="10"/>
      <c r="F67" s="32"/>
      <c r="G67" s="10"/>
    </row>
    <row r="68" spans="2:10">
      <c r="B68" s="13" t="s">
        <v>949</v>
      </c>
      <c r="C68" s="19" t="s">
        <v>955</v>
      </c>
      <c r="D68" s="16" t="s">
        <v>954</v>
      </c>
      <c r="E68" s="10" t="s">
        <v>953</v>
      </c>
      <c r="F68" s="32">
        <v>508580</v>
      </c>
      <c r="G68" s="10" t="s">
        <v>953</v>
      </c>
      <c r="H68" s="90">
        <f>IF(F68&gt;0,0,"")</f>
        <v>0</v>
      </c>
      <c r="I68" s="90">
        <f>IF(H68=0,F68,"")</f>
        <v>508580</v>
      </c>
      <c r="J68" s="118" t="str">
        <f>IF(I68&gt;0,"ATRASADO","")</f>
        <v>ATRASADO</v>
      </c>
    </row>
    <row r="69" spans="2:10">
      <c r="B69" s="13"/>
      <c r="C69" s="19"/>
      <c r="D69" s="16"/>
      <c r="E69" s="10"/>
      <c r="F69" s="32"/>
      <c r="G69" s="10"/>
    </row>
    <row r="70" spans="2:10">
      <c r="B70" s="13" t="s">
        <v>532</v>
      </c>
      <c r="C70" s="19" t="s">
        <v>102</v>
      </c>
      <c r="D70" s="35" t="s">
        <v>531</v>
      </c>
      <c r="E70" s="36">
        <v>41286</v>
      </c>
      <c r="F70" s="32">
        <v>67454.7</v>
      </c>
      <c r="G70" s="36">
        <v>41286</v>
      </c>
      <c r="H70" s="90">
        <f>IF(F70&gt;0,0,"")</f>
        <v>0</v>
      </c>
      <c r="I70" s="90">
        <f>IF(H70=0,F70,"")</f>
        <v>67454.7</v>
      </c>
      <c r="J70" s="118" t="str">
        <f>IF(I70&gt;0,"ATRASADO","")</f>
        <v>ATRASADO</v>
      </c>
    </row>
    <row r="71" spans="2:10">
      <c r="B71" s="13"/>
      <c r="C71" s="19"/>
      <c r="D71" s="35"/>
      <c r="E71" s="36"/>
      <c r="F71" s="32"/>
      <c r="G71" s="36"/>
    </row>
    <row r="72" spans="2:10">
      <c r="B72" s="13" t="s">
        <v>132</v>
      </c>
      <c r="C72" s="19" t="s">
        <v>133</v>
      </c>
      <c r="D72" s="16">
        <v>1500000011</v>
      </c>
      <c r="E72" s="10">
        <v>41444</v>
      </c>
      <c r="F72" s="32">
        <v>9270</v>
      </c>
      <c r="G72" s="10">
        <v>41444</v>
      </c>
      <c r="H72" s="90">
        <f>IF(F72&gt;0,0,"")</f>
        <v>0</v>
      </c>
      <c r="I72" s="90">
        <f>IF(H72=0,F72,"")</f>
        <v>9270</v>
      </c>
      <c r="J72" s="118" t="str">
        <f>IF(I72&gt;0,"ATRASADO","")</f>
        <v>ATRASADO</v>
      </c>
    </row>
    <row r="73" spans="2:10">
      <c r="B73" s="13" t="s">
        <v>132</v>
      </c>
      <c r="C73" s="19" t="s">
        <v>133</v>
      </c>
      <c r="D73" s="16">
        <v>1500000012</v>
      </c>
      <c r="E73" s="10">
        <v>41451</v>
      </c>
      <c r="F73" s="32">
        <v>4500</v>
      </c>
      <c r="G73" s="10">
        <v>41451</v>
      </c>
      <c r="H73" s="90">
        <f>IF(F73&gt;0,0,"")</f>
        <v>0</v>
      </c>
      <c r="I73" s="90">
        <f>IF(H73=0,F73,"")</f>
        <v>4500</v>
      </c>
      <c r="J73" s="118" t="str">
        <f>IF(I73&gt;0,"ATRASADO","")</f>
        <v>ATRASADO</v>
      </c>
    </row>
    <row r="74" spans="2:10">
      <c r="B74" s="13"/>
      <c r="C74" s="19"/>
      <c r="D74" s="16"/>
      <c r="E74" s="10"/>
      <c r="F74" s="32"/>
      <c r="G74" s="10"/>
    </row>
    <row r="75" spans="2:10">
      <c r="B75" s="13" t="s">
        <v>569</v>
      </c>
      <c r="C75" s="19" t="s">
        <v>570</v>
      </c>
      <c r="D75" s="16">
        <v>1500000089</v>
      </c>
      <c r="E75" s="20">
        <v>43101</v>
      </c>
      <c r="F75" s="32">
        <v>87000</v>
      </c>
      <c r="G75" s="20">
        <v>43101</v>
      </c>
      <c r="H75" s="90">
        <f>IF(F75&gt;0,0,"")</f>
        <v>0</v>
      </c>
      <c r="I75" s="90">
        <f>IF(H75=0,F75,"")</f>
        <v>87000</v>
      </c>
      <c r="J75" s="118" t="str">
        <f>IF(I75&gt;0,"ATRASADO","")</f>
        <v>ATRASADO</v>
      </c>
    </row>
    <row r="76" spans="2:10">
      <c r="B76" s="13" t="s">
        <v>569</v>
      </c>
      <c r="C76" s="19" t="s">
        <v>570</v>
      </c>
      <c r="D76" s="16">
        <v>1500000092</v>
      </c>
      <c r="E76" s="20">
        <v>43101</v>
      </c>
      <c r="F76" s="32">
        <v>3000</v>
      </c>
      <c r="G76" s="20">
        <v>43101</v>
      </c>
      <c r="H76" s="90">
        <f>IF(F76&gt;0,0,"")</f>
        <v>0</v>
      </c>
      <c r="I76" s="90">
        <f>IF(H76=0,F76,"")</f>
        <v>3000</v>
      </c>
      <c r="J76" s="118" t="str">
        <f>IF(I76&gt;0,"ATRASADO","")</f>
        <v>ATRASADO</v>
      </c>
    </row>
    <row r="77" spans="2:10">
      <c r="B77" s="13"/>
      <c r="C77" s="19"/>
      <c r="D77" s="16"/>
      <c r="E77" s="20"/>
      <c r="F77" s="32"/>
      <c r="G77" s="20"/>
    </row>
    <row r="78" spans="2:10">
      <c r="B78" s="13" t="s">
        <v>590</v>
      </c>
      <c r="C78" s="19" t="s">
        <v>591</v>
      </c>
      <c r="D78" s="17" t="s">
        <v>646</v>
      </c>
      <c r="E78" s="10">
        <v>43446</v>
      </c>
      <c r="F78" s="32">
        <v>20800</v>
      </c>
      <c r="G78" s="10">
        <v>43446</v>
      </c>
      <c r="H78" s="90">
        <f>IF(F78&gt;0,0,"")</f>
        <v>0</v>
      </c>
      <c r="I78" s="90">
        <f>IF(H78=0,F78,"")</f>
        <v>20800</v>
      </c>
      <c r="J78" s="118" t="str">
        <f>IF(I78&gt;0,"ATRASADO","")</f>
        <v>ATRASADO</v>
      </c>
    </row>
    <row r="79" spans="2:10">
      <c r="B79" s="13" t="s">
        <v>590</v>
      </c>
      <c r="C79" s="19" t="s">
        <v>591</v>
      </c>
      <c r="D79" s="17" t="s">
        <v>632</v>
      </c>
      <c r="E79" s="10">
        <v>43373</v>
      </c>
      <c r="F79" s="32">
        <v>17200</v>
      </c>
      <c r="G79" s="10">
        <v>43373</v>
      </c>
      <c r="H79" s="90">
        <f>IF(F79&gt;0,0,"")</f>
        <v>0</v>
      </c>
      <c r="I79" s="90">
        <f>IF(H79=0,F79,"")</f>
        <v>17200</v>
      </c>
      <c r="J79" s="118" t="str">
        <f>IF(I79&gt;0,"ATRASADO","")</f>
        <v>ATRASADO</v>
      </c>
    </row>
    <row r="80" spans="2:10">
      <c r="B80" s="86"/>
      <c r="C80" s="19"/>
      <c r="D80" s="17"/>
      <c r="E80" s="10"/>
      <c r="F80" s="32"/>
      <c r="G80" s="10"/>
    </row>
    <row r="81" spans="2:10">
      <c r="B81" s="13" t="s">
        <v>122</v>
      </c>
      <c r="C81" s="19" t="s">
        <v>123</v>
      </c>
      <c r="D81" s="17" t="s">
        <v>121</v>
      </c>
      <c r="E81" s="10">
        <v>41963</v>
      </c>
      <c r="F81" s="32">
        <v>40496</v>
      </c>
      <c r="G81" s="10">
        <v>41963</v>
      </c>
      <c r="H81" s="90">
        <f>IF(F81&gt;0,0,"")</f>
        <v>0</v>
      </c>
      <c r="I81" s="90">
        <f>IF(H81=0,F81,"")</f>
        <v>40496</v>
      </c>
      <c r="J81" s="118" t="str">
        <f>IF(I81&gt;0,"ATRASADO","")</f>
        <v>ATRASADO</v>
      </c>
    </row>
    <row r="82" spans="2:10">
      <c r="B82" s="13"/>
      <c r="C82" s="19"/>
      <c r="D82" s="17"/>
      <c r="E82" s="10"/>
      <c r="F82" s="32"/>
      <c r="G82" s="10"/>
    </row>
    <row r="83" spans="2:10">
      <c r="B83" s="13" t="s">
        <v>124</v>
      </c>
      <c r="C83" s="19" t="s">
        <v>102</v>
      </c>
      <c r="D83" s="16">
        <v>1500000606</v>
      </c>
      <c r="E83" s="10">
        <v>41191</v>
      </c>
      <c r="F83" s="32">
        <v>78532</v>
      </c>
      <c r="G83" s="10">
        <v>41191</v>
      </c>
      <c r="H83" s="90">
        <f>IF(F83&gt;0,0,"")</f>
        <v>0</v>
      </c>
      <c r="I83" s="90">
        <f>IF(H83=0,F83,"")</f>
        <v>78532</v>
      </c>
      <c r="J83" s="118" t="str">
        <f>IF(I83&gt;0,"ATRASADO","")</f>
        <v>ATRASADO</v>
      </c>
    </row>
    <row r="84" spans="2:10">
      <c r="B84" s="13" t="s">
        <v>124</v>
      </c>
      <c r="C84" s="19" t="s">
        <v>102</v>
      </c>
      <c r="D84" s="12">
        <v>797</v>
      </c>
      <c r="E84" s="10">
        <v>40915</v>
      </c>
      <c r="F84" s="32">
        <v>370575</v>
      </c>
      <c r="G84" s="27">
        <v>40915</v>
      </c>
      <c r="H84" s="90">
        <f>IF(F84&gt;0,0,"")</f>
        <v>0</v>
      </c>
      <c r="I84" s="90">
        <f>IF(H84=0,F84,"")</f>
        <v>370575</v>
      </c>
      <c r="J84" s="118" t="str">
        <f>IF(I84&gt;0,"ATRASADO","")</f>
        <v>ATRASADO</v>
      </c>
    </row>
    <row r="85" spans="2:10">
      <c r="B85" s="105"/>
      <c r="C85" s="19"/>
      <c r="D85" s="49"/>
      <c r="E85" s="10"/>
      <c r="F85" s="32"/>
      <c r="G85" s="10"/>
    </row>
    <row r="86" spans="2:10">
      <c r="B86" s="13" t="s">
        <v>912</v>
      </c>
      <c r="C86" s="19" t="s">
        <v>102</v>
      </c>
      <c r="D86" s="49" t="s">
        <v>928</v>
      </c>
      <c r="E86" s="10">
        <v>44203</v>
      </c>
      <c r="F86" s="32">
        <v>59000</v>
      </c>
      <c r="G86" s="10">
        <v>44203</v>
      </c>
      <c r="H86" s="90">
        <f>IF(F86&gt;0,0,"")</f>
        <v>0</v>
      </c>
      <c r="I86" s="90">
        <f>IF(H86=0,F86,"")</f>
        <v>59000</v>
      </c>
      <c r="J86" s="118" t="str">
        <f>IF(I86&gt;0,"ATRASADO","")</f>
        <v>ATRASADO</v>
      </c>
    </row>
    <row r="87" spans="2:10">
      <c r="B87" s="13"/>
      <c r="C87" s="19"/>
      <c r="D87" s="49"/>
      <c r="E87" s="10"/>
      <c r="F87" s="32"/>
      <c r="G87" s="10"/>
    </row>
    <row r="88" spans="2:10">
      <c r="B88" s="13" t="s">
        <v>1006</v>
      </c>
      <c r="C88" s="19" t="s">
        <v>1008</v>
      </c>
      <c r="D88" s="49" t="s">
        <v>911</v>
      </c>
      <c r="E88" s="10" t="s">
        <v>1007</v>
      </c>
      <c r="F88" s="32">
        <v>389400</v>
      </c>
      <c r="G88" s="10" t="s">
        <v>1007</v>
      </c>
      <c r="H88" s="90">
        <f>IF(F88&gt;0,0,"")</f>
        <v>0</v>
      </c>
      <c r="I88" s="90">
        <f>IF(H88=0,F88,"")</f>
        <v>389400</v>
      </c>
      <c r="J88" s="118" t="str">
        <f>IF(I88&gt;0,"ATRASADO","")</f>
        <v>ATRASADO</v>
      </c>
    </row>
    <row r="89" spans="2:10">
      <c r="B89" s="13"/>
      <c r="C89" s="19"/>
      <c r="D89" s="49"/>
      <c r="E89" s="10"/>
      <c r="F89" s="32"/>
      <c r="G89" s="10"/>
    </row>
    <row r="90" spans="2:10">
      <c r="B90" s="13" t="s">
        <v>19</v>
      </c>
      <c r="C90" s="19" t="s">
        <v>20</v>
      </c>
      <c r="D90" s="16">
        <v>1500000082</v>
      </c>
      <c r="E90" s="11">
        <v>41488</v>
      </c>
      <c r="F90" s="32">
        <v>1408750</v>
      </c>
      <c r="G90" s="11">
        <v>41488</v>
      </c>
      <c r="H90" s="90">
        <f t="shared" ref="H90:H99" si="0">IF(F90&gt;0,0,"")</f>
        <v>0</v>
      </c>
      <c r="I90" s="90">
        <f t="shared" ref="I90:I99" si="1">IF(H90=0,F90,"")</f>
        <v>1408750</v>
      </c>
      <c r="J90" s="118" t="str">
        <f t="shared" ref="J90:J99" si="2">IF(I90&gt;0,"ATRASADO","")</f>
        <v>ATRASADO</v>
      </c>
    </row>
    <row r="91" spans="2:10">
      <c r="B91" s="13" t="s">
        <v>19</v>
      </c>
      <c r="C91" s="19" t="s">
        <v>20</v>
      </c>
      <c r="D91" s="16">
        <v>1500000087</v>
      </c>
      <c r="E91" s="11">
        <v>41506</v>
      </c>
      <c r="F91" s="32">
        <v>1092500.19</v>
      </c>
      <c r="G91" s="11">
        <v>41506</v>
      </c>
      <c r="H91" s="90">
        <f t="shared" si="0"/>
        <v>0</v>
      </c>
      <c r="I91" s="90">
        <f t="shared" si="1"/>
        <v>1092500.19</v>
      </c>
      <c r="J91" s="118" t="str">
        <f t="shared" si="2"/>
        <v>ATRASADO</v>
      </c>
    </row>
    <row r="92" spans="2:10">
      <c r="B92" s="13" t="s">
        <v>19</v>
      </c>
      <c r="C92" s="19" t="s">
        <v>20</v>
      </c>
      <c r="D92" s="16">
        <v>1500000088</v>
      </c>
      <c r="E92" s="11">
        <v>41513</v>
      </c>
      <c r="F92" s="32">
        <v>288000</v>
      </c>
      <c r="G92" s="11">
        <v>41513</v>
      </c>
      <c r="H92" s="90">
        <f t="shared" si="0"/>
        <v>0</v>
      </c>
      <c r="I92" s="90">
        <f t="shared" si="1"/>
        <v>288000</v>
      </c>
      <c r="J92" s="118" t="str">
        <f t="shared" si="2"/>
        <v>ATRASADO</v>
      </c>
    </row>
    <row r="93" spans="2:10">
      <c r="B93" s="13" t="s">
        <v>19</v>
      </c>
      <c r="C93" s="19" t="s">
        <v>20</v>
      </c>
      <c r="D93" s="16">
        <v>1500000125</v>
      </c>
      <c r="E93" s="11">
        <v>41610</v>
      </c>
      <c r="F93" s="32">
        <v>825000</v>
      </c>
      <c r="G93" s="11">
        <v>41610</v>
      </c>
      <c r="H93" s="90">
        <f t="shared" si="0"/>
        <v>0</v>
      </c>
      <c r="I93" s="90">
        <f t="shared" si="1"/>
        <v>825000</v>
      </c>
      <c r="J93" s="118" t="str">
        <f t="shared" si="2"/>
        <v>ATRASADO</v>
      </c>
    </row>
    <row r="94" spans="2:10">
      <c r="B94" s="13" t="s">
        <v>19</v>
      </c>
      <c r="C94" s="19" t="s">
        <v>20</v>
      </c>
      <c r="D94" s="16">
        <v>1500000130</v>
      </c>
      <c r="E94" s="11">
        <v>41639</v>
      </c>
      <c r="F94" s="32">
        <v>825000</v>
      </c>
      <c r="G94" s="11">
        <v>41639</v>
      </c>
      <c r="H94" s="90">
        <f t="shared" si="0"/>
        <v>0</v>
      </c>
      <c r="I94" s="90">
        <f t="shared" si="1"/>
        <v>825000</v>
      </c>
      <c r="J94" s="118" t="str">
        <f t="shared" si="2"/>
        <v>ATRASADO</v>
      </c>
    </row>
    <row r="95" spans="2:10">
      <c r="B95" s="13" t="s">
        <v>19</v>
      </c>
      <c r="C95" s="19" t="s">
        <v>20</v>
      </c>
      <c r="D95" s="16">
        <v>1500000134</v>
      </c>
      <c r="E95" s="11">
        <v>41670</v>
      </c>
      <c r="F95" s="32">
        <v>755000</v>
      </c>
      <c r="G95" s="11">
        <v>41670</v>
      </c>
      <c r="H95" s="90">
        <f t="shared" si="0"/>
        <v>0</v>
      </c>
      <c r="I95" s="90">
        <f t="shared" si="1"/>
        <v>755000</v>
      </c>
      <c r="J95" s="118" t="str">
        <f t="shared" si="2"/>
        <v>ATRASADO</v>
      </c>
    </row>
    <row r="96" spans="2:10">
      <c r="B96" s="13" t="s">
        <v>19</v>
      </c>
      <c r="C96" s="19" t="s">
        <v>20</v>
      </c>
      <c r="D96" s="16">
        <v>1500000137</v>
      </c>
      <c r="E96" s="11">
        <v>41698</v>
      </c>
      <c r="F96" s="32">
        <v>318500</v>
      </c>
      <c r="G96" s="11">
        <v>41698</v>
      </c>
      <c r="H96" s="90">
        <f t="shared" si="0"/>
        <v>0</v>
      </c>
      <c r="I96" s="90">
        <f t="shared" si="1"/>
        <v>318500</v>
      </c>
      <c r="J96" s="118" t="str">
        <f t="shared" si="2"/>
        <v>ATRASADO</v>
      </c>
    </row>
    <row r="97" spans="2:10">
      <c r="B97" s="13" t="s">
        <v>19</v>
      </c>
      <c r="C97" s="19" t="s">
        <v>20</v>
      </c>
      <c r="D97" s="16">
        <v>1500000180</v>
      </c>
      <c r="E97" s="11">
        <v>42261</v>
      </c>
      <c r="F97" s="32">
        <v>270000</v>
      </c>
      <c r="G97" s="11">
        <v>42261</v>
      </c>
      <c r="H97" s="90">
        <f t="shared" si="0"/>
        <v>0</v>
      </c>
      <c r="I97" s="90">
        <f t="shared" si="1"/>
        <v>270000</v>
      </c>
      <c r="J97" s="118" t="str">
        <f t="shared" si="2"/>
        <v>ATRASADO</v>
      </c>
    </row>
    <row r="98" spans="2:10">
      <c r="B98" s="13" t="s">
        <v>19</v>
      </c>
      <c r="C98" s="19" t="s">
        <v>20</v>
      </c>
      <c r="D98" s="16">
        <v>1500000181</v>
      </c>
      <c r="E98" s="11">
        <v>42261</v>
      </c>
      <c r="F98" s="32">
        <v>270000</v>
      </c>
      <c r="G98" s="11">
        <v>42261</v>
      </c>
      <c r="H98" s="90">
        <f t="shared" si="0"/>
        <v>0</v>
      </c>
      <c r="I98" s="90">
        <f t="shared" si="1"/>
        <v>270000</v>
      </c>
      <c r="J98" s="118" t="str">
        <f t="shared" si="2"/>
        <v>ATRASADO</v>
      </c>
    </row>
    <row r="99" spans="2:10">
      <c r="B99" s="13" t="s">
        <v>19</v>
      </c>
      <c r="C99" s="19" t="s">
        <v>20</v>
      </c>
      <c r="D99" s="16">
        <v>1500000182</v>
      </c>
      <c r="E99" s="11">
        <v>42261</v>
      </c>
      <c r="F99" s="32">
        <v>270000</v>
      </c>
      <c r="G99" s="11">
        <v>42261</v>
      </c>
      <c r="H99" s="90">
        <f t="shared" si="0"/>
        <v>0</v>
      </c>
      <c r="I99" s="90">
        <f t="shared" si="1"/>
        <v>270000</v>
      </c>
      <c r="J99" s="118" t="str">
        <f t="shared" si="2"/>
        <v>ATRASADO</v>
      </c>
    </row>
    <row r="100" spans="2:10">
      <c r="B100" s="13"/>
      <c r="C100" s="19"/>
      <c r="D100" s="16"/>
      <c r="E100" s="11"/>
      <c r="F100" s="32"/>
      <c r="G100" s="11"/>
    </row>
    <row r="101" spans="2:10">
      <c r="B101" s="13" t="s">
        <v>598</v>
      </c>
      <c r="C101" s="19" t="s">
        <v>597</v>
      </c>
      <c r="D101" s="111" t="s">
        <v>957</v>
      </c>
      <c r="E101" s="10" t="s">
        <v>956</v>
      </c>
      <c r="F101" s="32">
        <f>231015.59-7682.03</f>
        <v>223333.56</v>
      </c>
      <c r="G101" s="10" t="s">
        <v>956</v>
      </c>
      <c r="H101" s="90">
        <f>IF(F101&gt;0,0,"")</f>
        <v>0</v>
      </c>
      <c r="I101" s="90">
        <f>IF(H101=0,F101,"")</f>
        <v>223333.56</v>
      </c>
      <c r="J101" s="118" t="str">
        <f>IF(I101&gt;0,"ATRASADO","")</f>
        <v>ATRASADO</v>
      </c>
    </row>
    <row r="102" spans="2:10">
      <c r="B102" s="13" t="s">
        <v>598</v>
      </c>
      <c r="C102" s="19" t="s">
        <v>597</v>
      </c>
      <c r="D102" s="111" t="s">
        <v>958</v>
      </c>
      <c r="E102" s="10" t="s">
        <v>956</v>
      </c>
      <c r="F102" s="32">
        <v>301216.12</v>
      </c>
      <c r="G102" s="10" t="s">
        <v>956</v>
      </c>
      <c r="H102" s="90">
        <f>IF(F102&gt;0,0,"")</f>
        <v>0</v>
      </c>
      <c r="I102" s="90">
        <f>IF(H102=0,F102,"")</f>
        <v>301216.12</v>
      </c>
      <c r="J102" s="118" t="str">
        <f>IF(I102&gt;0,"ATRASADO","")</f>
        <v>ATRASADO</v>
      </c>
    </row>
    <row r="103" spans="2:10">
      <c r="B103" s="13" t="s">
        <v>598</v>
      </c>
      <c r="C103" s="19" t="s">
        <v>597</v>
      </c>
      <c r="D103" s="111" t="s">
        <v>1010</v>
      </c>
      <c r="E103" s="10" t="s">
        <v>1009</v>
      </c>
      <c r="F103" s="32">
        <v>211758.82</v>
      </c>
      <c r="G103" s="10">
        <v>44509</v>
      </c>
      <c r="H103" s="90">
        <f>IF(F103&gt;0,0,"")</f>
        <v>0</v>
      </c>
      <c r="I103" s="90">
        <f>IF(H103=0,F103,"")</f>
        <v>211758.82</v>
      </c>
      <c r="J103" s="118" t="s">
        <v>1052</v>
      </c>
    </row>
    <row r="104" spans="2:10">
      <c r="B104" s="13" t="s">
        <v>598</v>
      </c>
      <c r="C104" s="19" t="s">
        <v>597</v>
      </c>
      <c r="D104" s="111" t="s">
        <v>1011</v>
      </c>
      <c r="E104" s="10" t="s">
        <v>1009</v>
      </c>
      <c r="F104" s="32">
        <v>298136.88</v>
      </c>
      <c r="G104" s="10">
        <v>44509</v>
      </c>
      <c r="H104" s="90">
        <f>IF(F104&gt;0,0,"")</f>
        <v>0</v>
      </c>
      <c r="I104" s="90">
        <f>IF(H104=0,F104,"")</f>
        <v>298136.88</v>
      </c>
      <c r="J104" s="118" t="s">
        <v>1052</v>
      </c>
    </row>
    <row r="105" spans="2:10">
      <c r="B105" s="13"/>
      <c r="C105" s="19"/>
      <c r="D105" s="17"/>
      <c r="E105" s="10"/>
      <c r="F105" s="32"/>
      <c r="G105" s="10"/>
    </row>
    <row r="106" spans="2:10" ht="24.75">
      <c r="B106" s="13" t="s">
        <v>139</v>
      </c>
      <c r="C106" s="19" t="s">
        <v>467</v>
      </c>
      <c r="D106" s="16">
        <v>100008923</v>
      </c>
      <c r="E106" s="10">
        <v>41274</v>
      </c>
      <c r="F106" s="32">
        <v>32625</v>
      </c>
      <c r="G106" s="27">
        <v>41274</v>
      </c>
      <c r="H106" s="90">
        <f t="shared" ref="H106:H117" si="3">IF(F106&gt;0,0,"")</f>
        <v>0</v>
      </c>
      <c r="I106" s="90">
        <f t="shared" ref="I106:I117" si="4">IF(H106=0,F106,"")</f>
        <v>32625</v>
      </c>
      <c r="J106" s="118" t="str">
        <f t="shared" ref="J106:J117" si="5">IF(I106&gt;0,"ATRASADO","")</f>
        <v>ATRASADO</v>
      </c>
    </row>
    <row r="107" spans="2:10" ht="24.75">
      <c r="B107" s="13" t="s">
        <v>139</v>
      </c>
      <c r="C107" s="19" t="s">
        <v>467</v>
      </c>
      <c r="D107" s="16">
        <v>100008847</v>
      </c>
      <c r="E107" s="10">
        <v>40632</v>
      </c>
      <c r="F107" s="32">
        <v>24000</v>
      </c>
      <c r="G107" s="10">
        <v>40632</v>
      </c>
      <c r="H107" s="90">
        <f t="shared" si="3"/>
        <v>0</v>
      </c>
      <c r="I107" s="90">
        <f t="shared" si="4"/>
        <v>24000</v>
      </c>
      <c r="J107" s="118" t="str">
        <f t="shared" si="5"/>
        <v>ATRASADO</v>
      </c>
    </row>
    <row r="108" spans="2:10" ht="24.75">
      <c r="B108" s="13" t="s">
        <v>139</v>
      </c>
      <c r="C108" s="19" t="s">
        <v>467</v>
      </c>
      <c r="D108" s="16">
        <v>100008854</v>
      </c>
      <c r="E108" s="10">
        <v>40666</v>
      </c>
      <c r="F108" s="32">
        <v>35475</v>
      </c>
      <c r="G108" s="10">
        <v>40666</v>
      </c>
      <c r="H108" s="90">
        <f t="shared" si="3"/>
        <v>0</v>
      </c>
      <c r="I108" s="90">
        <f t="shared" si="4"/>
        <v>35475</v>
      </c>
      <c r="J108" s="118" t="str">
        <f t="shared" si="5"/>
        <v>ATRASADO</v>
      </c>
    </row>
    <row r="109" spans="2:10" ht="24.75">
      <c r="B109" s="13" t="s">
        <v>139</v>
      </c>
      <c r="C109" s="19" t="s">
        <v>467</v>
      </c>
      <c r="D109" s="16">
        <v>100008858</v>
      </c>
      <c r="E109" s="10">
        <v>40694</v>
      </c>
      <c r="F109" s="32">
        <v>45675</v>
      </c>
      <c r="G109" s="10">
        <v>40694</v>
      </c>
      <c r="H109" s="90">
        <f t="shared" si="3"/>
        <v>0</v>
      </c>
      <c r="I109" s="90">
        <f t="shared" si="4"/>
        <v>45675</v>
      </c>
      <c r="J109" s="118" t="str">
        <f t="shared" si="5"/>
        <v>ATRASADO</v>
      </c>
    </row>
    <row r="110" spans="2:10" ht="24.75">
      <c r="B110" s="13" t="s">
        <v>139</v>
      </c>
      <c r="C110" s="19" t="s">
        <v>467</v>
      </c>
      <c r="D110" s="16">
        <v>100008863</v>
      </c>
      <c r="E110" s="10">
        <v>40724</v>
      </c>
      <c r="F110" s="32">
        <v>43500</v>
      </c>
      <c r="G110" s="10">
        <v>40724</v>
      </c>
      <c r="H110" s="90">
        <f t="shared" si="3"/>
        <v>0</v>
      </c>
      <c r="I110" s="90">
        <f t="shared" si="4"/>
        <v>43500</v>
      </c>
      <c r="J110" s="118" t="str">
        <f t="shared" si="5"/>
        <v>ATRASADO</v>
      </c>
    </row>
    <row r="111" spans="2:10" ht="24.75">
      <c r="B111" s="13" t="s">
        <v>139</v>
      </c>
      <c r="C111" s="19" t="s">
        <v>467</v>
      </c>
      <c r="D111" s="16">
        <v>100008886</v>
      </c>
      <c r="E111" s="10">
        <v>40816</v>
      </c>
      <c r="F111" s="32">
        <v>47850</v>
      </c>
      <c r="G111" s="10">
        <v>40816</v>
      </c>
      <c r="H111" s="90">
        <f t="shared" si="3"/>
        <v>0</v>
      </c>
      <c r="I111" s="90">
        <f t="shared" si="4"/>
        <v>47850</v>
      </c>
      <c r="J111" s="118" t="str">
        <f t="shared" si="5"/>
        <v>ATRASADO</v>
      </c>
    </row>
    <row r="112" spans="2:10" ht="24.75">
      <c r="B112" s="13" t="s">
        <v>139</v>
      </c>
      <c r="C112" s="19" t="s">
        <v>467</v>
      </c>
      <c r="D112" s="16">
        <v>100008894</v>
      </c>
      <c r="E112" s="10">
        <v>40847</v>
      </c>
      <c r="F112" s="32">
        <v>45675</v>
      </c>
      <c r="G112" s="10">
        <v>40847</v>
      </c>
      <c r="H112" s="90">
        <f t="shared" si="3"/>
        <v>0</v>
      </c>
      <c r="I112" s="90">
        <f t="shared" si="4"/>
        <v>45675</v>
      </c>
      <c r="J112" s="118" t="str">
        <f t="shared" si="5"/>
        <v>ATRASADO</v>
      </c>
    </row>
    <row r="113" spans="2:10" ht="24.75">
      <c r="B113" s="13" t="s">
        <v>139</v>
      </c>
      <c r="C113" s="19" t="s">
        <v>467</v>
      </c>
      <c r="D113" s="16">
        <v>100008912</v>
      </c>
      <c r="E113" s="10">
        <v>40907</v>
      </c>
      <c r="F113" s="32">
        <v>15225</v>
      </c>
      <c r="G113" s="10">
        <v>40907</v>
      </c>
      <c r="H113" s="90">
        <f t="shared" si="3"/>
        <v>0</v>
      </c>
      <c r="I113" s="90">
        <f t="shared" si="4"/>
        <v>15225</v>
      </c>
      <c r="J113" s="118" t="str">
        <f t="shared" si="5"/>
        <v>ATRASADO</v>
      </c>
    </row>
    <row r="114" spans="2:10" ht="24.75">
      <c r="B114" s="13" t="s">
        <v>139</v>
      </c>
      <c r="C114" s="19" t="s">
        <v>467</v>
      </c>
      <c r="D114" s="16">
        <v>100008932</v>
      </c>
      <c r="E114" s="10">
        <v>40968</v>
      </c>
      <c r="F114" s="32">
        <v>43500</v>
      </c>
      <c r="G114" s="27">
        <v>40968</v>
      </c>
      <c r="H114" s="90">
        <f t="shared" si="3"/>
        <v>0</v>
      </c>
      <c r="I114" s="90">
        <f t="shared" si="4"/>
        <v>43500</v>
      </c>
      <c r="J114" s="118" t="str">
        <f t="shared" si="5"/>
        <v>ATRASADO</v>
      </c>
    </row>
    <row r="115" spans="2:10" ht="24.75">
      <c r="B115" s="13" t="s">
        <v>139</v>
      </c>
      <c r="C115" s="19" t="s">
        <v>467</v>
      </c>
      <c r="D115" s="16">
        <v>100008940</v>
      </c>
      <c r="E115" s="10">
        <v>40999</v>
      </c>
      <c r="F115" s="32">
        <v>43500</v>
      </c>
      <c r="G115" s="27">
        <v>40999</v>
      </c>
      <c r="H115" s="90">
        <f t="shared" si="3"/>
        <v>0</v>
      </c>
      <c r="I115" s="90">
        <f t="shared" si="4"/>
        <v>43500</v>
      </c>
      <c r="J115" s="118" t="str">
        <f t="shared" si="5"/>
        <v>ATRASADO</v>
      </c>
    </row>
    <row r="116" spans="2:10" ht="24.75">
      <c r="B116" s="13" t="s">
        <v>139</v>
      </c>
      <c r="C116" s="19" t="s">
        <v>467</v>
      </c>
      <c r="D116" s="16">
        <v>100008949</v>
      </c>
      <c r="E116" s="10">
        <v>41029</v>
      </c>
      <c r="F116" s="32">
        <v>34800</v>
      </c>
      <c r="G116" s="27">
        <v>41029</v>
      </c>
      <c r="H116" s="90">
        <f t="shared" si="3"/>
        <v>0</v>
      </c>
      <c r="I116" s="90">
        <f t="shared" si="4"/>
        <v>34800</v>
      </c>
      <c r="J116" s="118" t="str">
        <f t="shared" si="5"/>
        <v>ATRASADO</v>
      </c>
    </row>
    <row r="117" spans="2:10" ht="24.75">
      <c r="B117" s="13" t="s">
        <v>139</v>
      </c>
      <c r="C117" s="19" t="s">
        <v>467</v>
      </c>
      <c r="D117" s="16">
        <v>100008967</v>
      </c>
      <c r="E117" s="10">
        <v>41059</v>
      </c>
      <c r="F117" s="32">
        <v>45675</v>
      </c>
      <c r="G117" s="27">
        <v>41059</v>
      </c>
      <c r="H117" s="90">
        <f t="shared" si="3"/>
        <v>0</v>
      </c>
      <c r="I117" s="90">
        <f t="shared" si="4"/>
        <v>45675</v>
      </c>
      <c r="J117" s="118" t="str">
        <f t="shared" si="5"/>
        <v>ATRASADO</v>
      </c>
    </row>
    <row r="118" spans="2:10">
      <c r="B118" s="13"/>
      <c r="C118" s="19"/>
      <c r="D118" s="16"/>
      <c r="E118" s="10"/>
      <c r="F118" s="32"/>
      <c r="G118" s="27"/>
    </row>
    <row r="119" spans="2:10">
      <c r="B119" s="13" t="s">
        <v>891</v>
      </c>
      <c r="C119" s="19" t="s">
        <v>467</v>
      </c>
      <c r="D119" s="16" t="s">
        <v>959</v>
      </c>
      <c r="E119" s="10" t="s">
        <v>960</v>
      </c>
      <c r="F119" s="32">
        <v>69000</v>
      </c>
      <c r="G119" s="10" t="s">
        <v>960</v>
      </c>
      <c r="H119" s="90">
        <f>IF(F119&gt;0,0,"")</f>
        <v>0</v>
      </c>
      <c r="I119" s="90">
        <f>IF(H119=0,F119,"")</f>
        <v>69000</v>
      </c>
      <c r="J119" s="118" t="str">
        <f>IF(I119&gt;0,"ATRASADO","")</f>
        <v>ATRASADO</v>
      </c>
    </row>
    <row r="120" spans="2:10">
      <c r="B120" s="13" t="s">
        <v>891</v>
      </c>
      <c r="C120" s="19" t="s">
        <v>467</v>
      </c>
      <c r="D120" s="16" t="s">
        <v>1012</v>
      </c>
      <c r="E120" s="10" t="s">
        <v>1004</v>
      </c>
      <c r="F120" s="32">
        <v>50600</v>
      </c>
      <c r="G120" s="10" t="s">
        <v>1004</v>
      </c>
      <c r="H120" s="90">
        <f>IF(F120&gt;0,0,"")</f>
        <v>0</v>
      </c>
      <c r="I120" s="90">
        <f>IF(H120=0,F120,"")</f>
        <v>50600</v>
      </c>
      <c r="J120" s="118" t="str">
        <f>IF(I120&gt;0,"ATRASADO","")</f>
        <v>ATRASADO</v>
      </c>
    </row>
    <row r="121" spans="2:10">
      <c r="B121" s="13"/>
      <c r="C121" s="19"/>
      <c r="D121" s="16"/>
      <c r="E121" s="10"/>
      <c r="F121" s="32"/>
      <c r="G121" s="27"/>
    </row>
    <row r="122" spans="2:10">
      <c r="B122" s="13" t="s">
        <v>137</v>
      </c>
      <c r="C122" s="19" t="s">
        <v>6</v>
      </c>
      <c r="D122" s="17">
        <v>1500000003</v>
      </c>
      <c r="E122" s="10">
        <v>41850</v>
      </c>
      <c r="F122" s="32">
        <v>45000.01</v>
      </c>
      <c r="G122" s="10">
        <v>41850</v>
      </c>
      <c r="H122" s="90">
        <f>IF(F122&gt;0,0,"")</f>
        <v>0</v>
      </c>
      <c r="I122" s="90">
        <f>IF(H122=0,F122,"")</f>
        <v>45000.01</v>
      </c>
      <c r="J122" s="118" t="str">
        <f>IF(I122&gt;0,"ATRASADO","")</f>
        <v>ATRASADO</v>
      </c>
    </row>
    <row r="123" spans="2:10">
      <c r="B123" s="13"/>
      <c r="C123" s="19"/>
      <c r="D123" s="28"/>
      <c r="E123" s="10"/>
      <c r="F123" s="32"/>
      <c r="G123" s="10"/>
    </row>
    <row r="124" spans="2:10">
      <c r="B124" s="13" t="s">
        <v>125</v>
      </c>
      <c r="C124" s="19" t="s">
        <v>126</v>
      </c>
      <c r="D124" s="25" t="s">
        <v>1042</v>
      </c>
      <c r="E124" s="10" t="s">
        <v>1035</v>
      </c>
      <c r="F124" s="32">
        <v>425971.28</v>
      </c>
      <c r="G124" s="10" t="s">
        <v>1035</v>
      </c>
      <c r="H124" s="90">
        <f>IF(F124&gt;0,0,"")</f>
        <v>0</v>
      </c>
      <c r="I124" s="90">
        <f>IF(H124=0,F124,"")</f>
        <v>425971.28</v>
      </c>
      <c r="J124" s="118" t="str">
        <f>IF(I124&gt;0,"ATRASADO","")</f>
        <v>ATRASADO</v>
      </c>
    </row>
    <row r="125" spans="2:10">
      <c r="B125" s="13"/>
      <c r="C125" s="19"/>
      <c r="D125" s="25"/>
      <c r="E125" s="10"/>
      <c r="F125" s="32"/>
      <c r="G125" s="10"/>
    </row>
    <row r="126" spans="2:10">
      <c r="B126" s="13" t="s">
        <v>135</v>
      </c>
      <c r="C126" s="19" t="s">
        <v>136</v>
      </c>
      <c r="D126" s="16">
        <v>1500002020</v>
      </c>
      <c r="E126" s="10">
        <v>41458</v>
      </c>
      <c r="F126" s="32">
        <v>231.37</v>
      </c>
      <c r="G126" s="10">
        <v>41458</v>
      </c>
      <c r="H126" s="90">
        <f t="shared" ref="H126:H156" si="6">IF(F126&gt;0,0,"")</f>
        <v>0</v>
      </c>
      <c r="I126" s="90">
        <f t="shared" ref="I126:I156" si="7">IF(H126=0,F126,"")</f>
        <v>231.37</v>
      </c>
      <c r="J126" s="118" t="str">
        <f t="shared" ref="J126:J156" si="8">IF(I126&gt;0,"ATRASADO","")</f>
        <v>ATRASADO</v>
      </c>
    </row>
    <row r="127" spans="2:10">
      <c r="B127" s="13" t="s">
        <v>135</v>
      </c>
      <c r="C127" s="19" t="s">
        <v>136</v>
      </c>
      <c r="D127" s="16">
        <v>1500002027</v>
      </c>
      <c r="E127" s="10">
        <v>41461</v>
      </c>
      <c r="F127" s="32">
        <v>1020.7</v>
      </c>
      <c r="G127" s="10">
        <v>41461</v>
      </c>
      <c r="H127" s="90">
        <f t="shared" si="6"/>
        <v>0</v>
      </c>
      <c r="I127" s="90">
        <f t="shared" si="7"/>
        <v>1020.7</v>
      </c>
      <c r="J127" s="118" t="str">
        <f t="shared" si="8"/>
        <v>ATRASADO</v>
      </c>
    </row>
    <row r="128" spans="2:10">
      <c r="B128" s="13" t="s">
        <v>135</v>
      </c>
      <c r="C128" s="19" t="s">
        <v>136</v>
      </c>
      <c r="D128" s="16">
        <v>1500002059</v>
      </c>
      <c r="E128" s="10">
        <v>41484</v>
      </c>
      <c r="F128" s="32">
        <v>9002.8799999999992</v>
      </c>
      <c r="G128" s="10">
        <v>41484</v>
      </c>
      <c r="H128" s="90">
        <f t="shared" si="6"/>
        <v>0</v>
      </c>
      <c r="I128" s="90">
        <f t="shared" si="7"/>
        <v>9002.8799999999992</v>
      </c>
      <c r="J128" s="118" t="str">
        <f t="shared" si="8"/>
        <v>ATRASADO</v>
      </c>
    </row>
    <row r="129" spans="2:10">
      <c r="B129" s="13" t="s">
        <v>135</v>
      </c>
      <c r="C129" s="19" t="s">
        <v>136</v>
      </c>
      <c r="D129" s="16">
        <v>1500002127</v>
      </c>
      <c r="E129" s="10">
        <v>41540</v>
      </c>
      <c r="F129" s="32">
        <v>5865.28</v>
      </c>
      <c r="G129" s="10">
        <v>41540</v>
      </c>
      <c r="H129" s="90">
        <f t="shared" si="6"/>
        <v>0</v>
      </c>
      <c r="I129" s="90">
        <f t="shared" si="7"/>
        <v>5865.28</v>
      </c>
      <c r="J129" s="118" t="str">
        <f t="shared" si="8"/>
        <v>ATRASADO</v>
      </c>
    </row>
    <row r="130" spans="2:10">
      <c r="B130" s="13" t="s">
        <v>135</v>
      </c>
      <c r="C130" s="19" t="s">
        <v>136</v>
      </c>
      <c r="D130" s="16">
        <v>1500002138</v>
      </c>
      <c r="E130" s="10">
        <v>41550</v>
      </c>
      <c r="F130" s="32">
        <v>7664.17</v>
      </c>
      <c r="G130" s="10">
        <v>41550</v>
      </c>
      <c r="H130" s="90">
        <f t="shared" si="6"/>
        <v>0</v>
      </c>
      <c r="I130" s="90">
        <f t="shared" si="7"/>
        <v>7664.17</v>
      </c>
      <c r="J130" s="118" t="str">
        <f t="shared" si="8"/>
        <v>ATRASADO</v>
      </c>
    </row>
    <row r="131" spans="2:10">
      <c r="B131" s="13" t="s">
        <v>135</v>
      </c>
      <c r="C131" s="19" t="s">
        <v>136</v>
      </c>
      <c r="D131" s="16">
        <v>1500002185</v>
      </c>
      <c r="E131" s="10">
        <v>41597</v>
      </c>
      <c r="F131" s="32">
        <v>21720.26</v>
      </c>
      <c r="G131" s="10">
        <v>41597</v>
      </c>
      <c r="H131" s="90">
        <f t="shared" si="6"/>
        <v>0</v>
      </c>
      <c r="I131" s="90">
        <f t="shared" si="7"/>
        <v>21720.26</v>
      </c>
      <c r="J131" s="118" t="str">
        <f t="shared" si="8"/>
        <v>ATRASADO</v>
      </c>
    </row>
    <row r="132" spans="2:10">
      <c r="B132" s="13" t="s">
        <v>135</v>
      </c>
      <c r="C132" s="19" t="s">
        <v>136</v>
      </c>
      <c r="D132" s="16">
        <v>1500002186</v>
      </c>
      <c r="E132" s="10">
        <v>41597</v>
      </c>
      <c r="F132" s="32">
        <v>433.65</v>
      </c>
      <c r="G132" s="10">
        <v>41597</v>
      </c>
      <c r="H132" s="90">
        <f t="shared" si="6"/>
        <v>0</v>
      </c>
      <c r="I132" s="90">
        <f t="shared" si="7"/>
        <v>433.65</v>
      </c>
      <c r="J132" s="118" t="str">
        <f t="shared" si="8"/>
        <v>ATRASADO</v>
      </c>
    </row>
    <row r="133" spans="2:10">
      <c r="B133" s="13" t="s">
        <v>135</v>
      </c>
      <c r="C133" s="19" t="s">
        <v>136</v>
      </c>
      <c r="D133" s="16">
        <v>1500002189</v>
      </c>
      <c r="E133" s="10">
        <v>41599</v>
      </c>
      <c r="F133" s="32">
        <v>10372.200000000001</v>
      </c>
      <c r="G133" s="10">
        <v>41599</v>
      </c>
      <c r="H133" s="90">
        <f t="shared" si="6"/>
        <v>0</v>
      </c>
      <c r="I133" s="90">
        <f t="shared" si="7"/>
        <v>10372.200000000001</v>
      </c>
      <c r="J133" s="118" t="str">
        <f t="shared" si="8"/>
        <v>ATRASADO</v>
      </c>
    </row>
    <row r="134" spans="2:10">
      <c r="B134" s="13" t="s">
        <v>135</v>
      </c>
      <c r="C134" s="19" t="s">
        <v>136</v>
      </c>
      <c r="D134" s="16">
        <v>1500002190</v>
      </c>
      <c r="E134" s="10">
        <v>41597</v>
      </c>
      <c r="F134" s="32">
        <v>8365.17</v>
      </c>
      <c r="G134" s="10">
        <v>41597</v>
      </c>
      <c r="H134" s="90">
        <f t="shared" si="6"/>
        <v>0</v>
      </c>
      <c r="I134" s="90">
        <f t="shared" si="7"/>
        <v>8365.17</v>
      </c>
      <c r="J134" s="118" t="str">
        <f t="shared" si="8"/>
        <v>ATRASADO</v>
      </c>
    </row>
    <row r="135" spans="2:10">
      <c r="B135" s="13" t="s">
        <v>135</v>
      </c>
      <c r="C135" s="19" t="s">
        <v>136</v>
      </c>
      <c r="D135" s="16">
        <v>1500002191</v>
      </c>
      <c r="E135" s="10">
        <v>41600</v>
      </c>
      <c r="F135" s="32">
        <v>9530.86</v>
      </c>
      <c r="G135" s="10">
        <v>41600</v>
      </c>
      <c r="H135" s="90">
        <f t="shared" si="6"/>
        <v>0</v>
      </c>
      <c r="I135" s="90">
        <f t="shared" si="7"/>
        <v>9530.86</v>
      </c>
      <c r="J135" s="118" t="str">
        <f t="shared" si="8"/>
        <v>ATRASADO</v>
      </c>
    </row>
    <row r="136" spans="2:10">
      <c r="B136" s="13" t="s">
        <v>135</v>
      </c>
      <c r="C136" s="19" t="s">
        <v>136</v>
      </c>
      <c r="D136" s="16">
        <v>1500002192</v>
      </c>
      <c r="E136" s="10">
        <v>41600</v>
      </c>
      <c r="F136" s="32">
        <v>6957.21</v>
      </c>
      <c r="G136" s="10">
        <v>41600</v>
      </c>
      <c r="H136" s="90">
        <f t="shared" si="6"/>
        <v>0</v>
      </c>
      <c r="I136" s="90">
        <f t="shared" si="7"/>
        <v>6957.21</v>
      </c>
      <c r="J136" s="118" t="str">
        <f t="shared" si="8"/>
        <v>ATRASADO</v>
      </c>
    </row>
    <row r="137" spans="2:10">
      <c r="B137" s="13" t="s">
        <v>135</v>
      </c>
      <c r="C137" s="19" t="s">
        <v>136</v>
      </c>
      <c r="D137" s="16">
        <v>1500002251</v>
      </c>
      <c r="E137" s="10">
        <v>41676</v>
      </c>
      <c r="F137" s="32">
        <v>4272.21</v>
      </c>
      <c r="G137" s="10">
        <v>41676</v>
      </c>
      <c r="H137" s="90">
        <f t="shared" si="6"/>
        <v>0</v>
      </c>
      <c r="I137" s="90">
        <f t="shared" si="7"/>
        <v>4272.21</v>
      </c>
      <c r="J137" s="118" t="str">
        <f t="shared" si="8"/>
        <v>ATRASADO</v>
      </c>
    </row>
    <row r="138" spans="2:10">
      <c r="B138" s="13" t="s">
        <v>135</v>
      </c>
      <c r="C138" s="19" t="s">
        <v>136</v>
      </c>
      <c r="D138" s="16">
        <v>1500002277</v>
      </c>
      <c r="E138" s="10">
        <v>41694</v>
      </c>
      <c r="F138" s="32">
        <v>3283.35</v>
      </c>
      <c r="G138" s="10">
        <v>41694</v>
      </c>
      <c r="H138" s="90">
        <f t="shared" si="6"/>
        <v>0</v>
      </c>
      <c r="I138" s="90">
        <f t="shared" si="7"/>
        <v>3283.35</v>
      </c>
      <c r="J138" s="118" t="str">
        <f t="shared" si="8"/>
        <v>ATRASADO</v>
      </c>
    </row>
    <row r="139" spans="2:10">
      <c r="B139" s="13" t="s">
        <v>135</v>
      </c>
      <c r="C139" s="19" t="s">
        <v>136</v>
      </c>
      <c r="D139" s="16">
        <v>1500002280</v>
      </c>
      <c r="E139" s="10">
        <v>41696</v>
      </c>
      <c r="F139" s="32">
        <v>6844</v>
      </c>
      <c r="G139" s="10">
        <v>41696</v>
      </c>
      <c r="H139" s="90">
        <f t="shared" si="6"/>
        <v>0</v>
      </c>
      <c r="I139" s="90">
        <f t="shared" si="7"/>
        <v>6844</v>
      </c>
      <c r="J139" s="118" t="str">
        <f t="shared" si="8"/>
        <v>ATRASADO</v>
      </c>
    </row>
    <row r="140" spans="2:10">
      <c r="B140" s="13" t="s">
        <v>135</v>
      </c>
      <c r="C140" s="19" t="s">
        <v>136</v>
      </c>
      <c r="D140" s="16">
        <v>1500002337</v>
      </c>
      <c r="E140" s="10">
        <v>41750</v>
      </c>
      <c r="F140" s="32">
        <v>1422.51</v>
      </c>
      <c r="G140" s="10">
        <v>41750</v>
      </c>
      <c r="H140" s="90">
        <f t="shared" si="6"/>
        <v>0</v>
      </c>
      <c r="I140" s="90">
        <f t="shared" si="7"/>
        <v>1422.51</v>
      </c>
      <c r="J140" s="118" t="str">
        <f t="shared" si="8"/>
        <v>ATRASADO</v>
      </c>
    </row>
    <row r="141" spans="2:10">
      <c r="B141" s="13" t="s">
        <v>135</v>
      </c>
      <c r="C141" s="19" t="s">
        <v>136</v>
      </c>
      <c r="D141" s="16">
        <v>1500002343</v>
      </c>
      <c r="E141" s="10">
        <v>41752</v>
      </c>
      <c r="F141" s="32">
        <v>3283.35</v>
      </c>
      <c r="G141" s="10">
        <v>41752</v>
      </c>
      <c r="H141" s="90">
        <f t="shared" si="6"/>
        <v>0</v>
      </c>
      <c r="I141" s="90">
        <f t="shared" si="7"/>
        <v>3283.35</v>
      </c>
      <c r="J141" s="118" t="str">
        <f t="shared" si="8"/>
        <v>ATRASADO</v>
      </c>
    </row>
    <row r="142" spans="2:10">
      <c r="B142" s="13" t="s">
        <v>135</v>
      </c>
      <c r="C142" s="19" t="s">
        <v>136</v>
      </c>
      <c r="D142" s="16">
        <v>1500002366</v>
      </c>
      <c r="E142" s="10">
        <v>41772</v>
      </c>
      <c r="F142" s="32">
        <v>260880.3</v>
      </c>
      <c r="G142" s="10">
        <v>41772</v>
      </c>
      <c r="H142" s="90">
        <f t="shared" si="6"/>
        <v>0</v>
      </c>
      <c r="I142" s="90">
        <f t="shared" si="7"/>
        <v>260880.3</v>
      </c>
      <c r="J142" s="118" t="str">
        <f t="shared" si="8"/>
        <v>ATRASADO</v>
      </c>
    </row>
    <row r="143" spans="2:10">
      <c r="B143" s="13" t="s">
        <v>135</v>
      </c>
      <c r="C143" s="19" t="s">
        <v>136</v>
      </c>
      <c r="D143" s="16">
        <v>1500002397</v>
      </c>
      <c r="E143" s="10">
        <v>41801</v>
      </c>
      <c r="F143" s="32">
        <v>261542.28</v>
      </c>
      <c r="G143" s="10">
        <v>41801</v>
      </c>
      <c r="H143" s="90">
        <f t="shared" si="6"/>
        <v>0</v>
      </c>
      <c r="I143" s="90">
        <f t="shared" si="7"/>
        <v>261542.28</v>
      </c>
      <c r="J143" s="118" t="str">
        <f t="shared" si="8"/>
        <v>ATRASADO</v>
      </c>
    </row>
    <row r="144" spans="2:10">
      <c r="B144" s="13" t="s">
        <v>135</v>
      </c>
      <c r="C144" s="19" t="s">
        <v>136</v>
      </c>
      <c r="D144" s="16">
        <v>1500002420</v>
      </c>
      <c r="E144" s="10">
        <v>41832</v>
      </c>
      <c r="F144" s="32">
        <v>262685.7</v>
      </c>
      <c r="G144" s="10">
        <v>41832</v>
      </c>
      <c r="H144" s="90">
        <f t="shared" si="6"/>
        <v>0</v>
      </c>
      <c r="I144" s="90">
        <f t="shared" si="7"/>
        <v>262685.7</v>
      </c>
      <c r="J144" s="118" t="str">
        <f t="shared" si="8"/>
        <v>ATRASADO</v>
      </c>
    </row>
    <row r="145" spans="2:10">
      <c r="B145" s="13" t="s">
        <v>135</v>
      </c>
      <c r="C145" s="19" t="s">
        <v>136</v>
      </c>
      <c r="D145" s="16">
        <v>1500002454</v>
      </c>
      <c r="E145" s="10">
        <v>41870</v>
      </c>
      <c r="F145" s="32">
        <v>261662.64</v>
      </c>
      <c r="G145" s="10">
        <v>41870</v>
      </c>
      <c r="H145" s="90">
        <f t="shared" si="6"/>
        <v>0</v>
      </c>
      <c r="I145" s="90">
        <f t="shared" si="7"/>
        <v>261662.64</v>
      </c>
      <c r="J145" s="118" t="str">
        <f t="shared" si="8"/>
        <v>ATRASADO</v>
      </c>
    </row>
    <row r="146" spans="2:10">
      <c r="B146" s="13" t="s">
        <v>135</v>
      </c>
      <c r="C146" s="19" t="s">
        <v>136</v>
      </c>
      <c r="D146" s="16">
        <v>1500002486</v>
      </c>
      <c r="E146" s="10">
        <v>41901</v>
      </c>
      <c r="F146" s="32">
        <v>262685.7</v>
      </c>
      <c r="G146" s="10">
        <v>41901</v>
      </c>
      <c r="H146" s="90">
        <f t="shared" si="6"/>
        <v>0</v>
      </c>
      <c r="I146" s="90">
        <f t="shared" si="7"/>
        <v>262685.7</v>
      </c>
      <c r="J146" s="118" t="str">
        <f t="shared" si="8"/>
        <v>ATRASADO</v>
      </c>
    </row>
    <row r="147" spans="2:10">
      <c r="B147" s="13" t="s">
        <v>135</v>
      </c>
      <c r="C147" s="19" t="s">
        <v>136</v>
      </c>
      <c r="D147" s="16">
        <v>1500002520</v>
      </c>
      <c r="E147" s="10">
        <v>41928</v>
      </c>
      <c r="F147" s="32">
        <v>263949.48</v>
      </c>
      <c r="G147" s="10">
        <v>41928</v>
      </c>
      <c r="H147" s="90">
        <f t="shared" si="6"/>
        <v>0</v>
      </c>
      <c r="I147" s="90">
        <f t="shared" si="7"/>
        <v>263949.48</v>
      </c>
      <c r="J147" s="118" t="str">
        <f t="shared" si="8"/>
        <v>ATRASADO</v>
      </c>
    </row>
    <row r="148" spans="2:10">
      <c r="B148" s="13" t="s">
        <v>135</v>
      </c>
      <c r="C148" s="19" t="s">
        <v>136</v>
      </c>
      <c r="D148" s="16">
        <v>1500002556</v>
      </c>
      <c r="E148" s="10">
        <v>41961</v>
      </c>
      <c r="F148" s="32">
        <v>265694.7</v>
      </c>
      <c r="G148" s="10">
        <v>41961</v>
      </c>
      <c r="H148" s="90">
        <f t="shared" si="6"/>
        <v>0</v>
      </c>
      <c r="I148" s="90">
        <f t="shared" si="7"/>
        <v>265694.7</v>
      </c>
      <c r="J148" s="118" t="str">
        <f t="shared" si="8"/>
        <v>ATRASADO</v>
      </c>
    </row>
    <row r="149" spans="2:10">
      <c r="B149" s="13" t="s">
        <v>135</v>
      </c>
      <c r="C149" s="19" t="s">
        <v>136</v>
      </c>
      <c r="D149" s="16">
        <v>1500002581</v>
      </c>
      <c r="E149" s="10">
        <v>41985</v>
      </c>
      <c r="F149" s="32">
        <v>265995.59999999998</v>
      </c>
      <c r="G149" s="10">
        <v>41985</v>
      </c>
      <c r="H149" s="90">
        <f t="shared" si="6"/>
        <v>0</v>
      </c>
      <c r="I149" s="90">
        <f t="shared" si="7"/>
        <v>265995.59999999998</v>
      </c>
      <c r="J149" s="118" t="str">
        <f t="shared" si="8"/>
        <v>ATRASADO</v>
      </c>
    </row>
    <row r="150" spans="2:10">
      <c r="B150" s="13" t="s">
        <v>135</v>
      </c>
      <c r="C150" s="19" t="s">
        <v>136</v>
      </c>
      <c r="D150" s="16">
        <v>1500002607</v>
      </c>
      <c r="E150" s="10">
        <v>42023</v>
      </c>
      <c r="F150" s="32">
        <v>268342.62</v>
      </c>
      <c r="G150" s="10">
        <v>42023</v>
      </c>
      <c r="H150" s="90">
        <f t="shared" si="6"/>
        <v>0</v>
      </c>
      <c r="I150" s="90">
        <f t="shared" si="7"/>
        <v>268342.62</v>
      </c>
      <c r="J150" s="118" t="str">
        <f t="shared" si="8"/>
        <v>ATRASADO</v>
      </c>
    </row>
    <row r="151" spans="2:10">
      <c r="B151" s="13" t="s">
        <v>135</v>
      </c>
      <c r="C151" s="19" t="s">
        <v>136</v>
      </c>
      <c r="D151" s="16">
        <v>1500002630</v>
      </c>
      <c r="E151" s="10">
        <v>42046</v>
      </c>
      <c r="F151" s="32">
        <v>272013.59999999998</v>
      </c>
      <c r="G151" s="10">
        <v>42046</v>
      </c>
      <c r="H151" s="90">
        <f t="shared" si="6"/>
        <v>0</v>
      </c>
      <c r="I151" s="90">
        <f t="shared" si="7"/>
        <v>272013.59999999998</v>
      </c>
      <c r="J151" s="118" t="str">
        <f t="shared" si="8"/>
        <v>ATRASADO</v>
      </c>
    </row>
    <row r="152" spans="2:10">
      <c r="B152" s="13" t="s">
        <v>135</v>
      </c>
      <c r="C152" s="19" t="s">
        <v>136</v>
      </c>
      <c r="D152" s="16">
        <v>1500002656</v>
      </c>
      <c r="E152" s="10">
        <v>42074</v>
      </c>
      <c r="F152" s="32">
        <v>270208.2</v>
      </c>
      <c r="G152" s="10">
        <v>42074</v>
      </c>
      <c r="H152" s="90">
        <f t="shared" si="6"/>
        <v>0</v>
      </c>
      <c r="I152" s="90">
        <f t="shared" si="7"/>
        <v>270208.2</v>
      </c>
      <c r="J152" s="118" t="str">
        <f t="shared" si="8"/>
        <v>ATRASADO</v>
      </c>
    </row>
    <row r="153" spans="2:10">
      <c r="B153" s="13" t="s">
        <v>135</v>
      </c>
      <c r="C153" s="19" t="s">
        <v>136</v>
      </c>
      <c r="D153" s="16">
        <v>1500002693</v>
      </c>
      <c r="E153" s="10">
        <v>42108</v>
      </c>
      <c r="F153" s="32">
        <v>270509.09999999998</v>
      </c>
      <c r="G153" s="10">
        <v>42108</v>
      </c>
      <c r="H153" s="90">
        <f t="shared" si="6"/>
        <v>0</v>
      </c>
      <c r="I153" s="90">
        <f t="shared" si="7"/>
        <v>270509.09999999998</v>
      </c>
      <c r="J153" s="118" t="str">
        <f t="shared" si="8"/>
        <v>ATRASADO</v>
      </c>
    </row>
    <row r="154" spans="2:10">
      <c r="B154" s="13" t="s">
        <v>135</v>
      </c>
      <c r="C154" s="19" t="s">
        <v>136</v>
      </c>
      <c r="D154" s="16">
        <v>1500002842</v>
      </c>
      <c r="E154" s="10">
        <v>42226</v>
      </c>
      <c r="F154" s="32">
        <v>1086850.8</v>
      </c>
      <c r="G154" s="10">
        <v>42226</v>
      </c>
      <c r="H154" s="90">
        <f t="shared" si="6"/>
        <v>0</v>
      </c>
      <c r="I154" s="90">
        <f t="shared" si="7"/>
        <v>1086850.8</v>
      </c>
      <c r="J154" s="118" t="str">
        <f t="shared" si="8"/>
        <v>ATRASADO</v>
      </c>
    </row>
    <row r="155" spans="2:10">
      <c r="B155" s="13" t="s">
        <v>135</v>
      </c>
      <c r="C155" s="19" t="s">
        <v>136</v>
      </c>
      <c r="D155" s="16">
        <v>1500002876</v>
      </c>
      <c r="E155" s="10">
        <v>42257</v>
      </c>
      <c r="F155" s="32">
        <v>271833.06</v>
      </c>
      <c r="G155" s="10">
        <v>42257</v>
      </c>
      <c r="H155" s="90">
        <f t="shared" si="6"/>
        <v>0</v>
      </c>
      <c r="I155" s="90">
        <f t="shared" si="7"/>
        <v>271833.06</v>
      </c>
      <c r="J155" s="118" t="str">
        <f t="shared" si="8"/>
        <v>ATRASADO</v>
      </c>
    </row>
    <row r="156" spans="2:10">
      <c r="B156" s="13" t="s">
        <v>135</v>
      </c>
      <c r="C156" s="19" t="s">
        <v>136</v>
      </c>
      <c r="D156" s="16">
        <v>1500003025</v>
      </c>
      <c r="E156" s="10">
        <v>42402</v>
      </c>
      <c r="F156" s="32">
        <v>6608</v>
      </c>
      <c r="G156" s="10">
        <v>42402</v>
      </c>
      <c r="H156" s="90">
        <f t="shared" si="6"/>
        <v>0</v>
      </c>
      <c r="I156" s="90">
        <f t="shared" si="7"/>
        <v>6608</v>
      </c>
      <c r="J156" s="118" t="str">
        <f t="shared" si="8"/>
        <v>ATRASADO</v>
      </c>
    </row>
    <row r="157" spans="2:10">
      <c r="B157" s="13"/>
      <c r="C157" s="19"/>
      <c r="D157" s="16"/>
      <c r="E157" s="10"/>
      <c r="F157" s="32"/>
      <c r="G157" s="10"/>
    </row>
    <row r="158" spans="2:10">
      <c r="B158" s="13" t="s">
        <v>140</v>
      </c>
      <c r="C158" s="19" t="s">
        <v>104</v>
      </c>
      <c r="D158" s="12">
        <v>1500002133</v>
      </c>
      <c r="E158" s="10">
        <v>40402</v>
      </c>
      <c r="F158" s="32">
        <v>4952.3500000000004</v>
      </c>
      <c r="G158" s="10">
        <v>40402</v>
      </c>
      <c r="H158" s="90">
        <f t="shared" ref="H158:H173" si="9">IF(F158&gt;0,0,"")</f>
        <v>0</v>
      </c>
      <c r="I158" s="90">
        <f t="shared" ref="I158:I173" si="10">IF(H158=0,F158,"")</f>
        <v>4952.3500000000004</v>
      </c>
      <c r="J158" s="118" t="str">
        <f t="shared" ref="J158:J173" si="11">IF(I158&gt;0,"ATRASADO","")</f>
        <v>ATRASADO</v>
      </c>
    </row>
    <row r="159" spans="2:10">
      <c r="B159" s="13" t="s">
        <v>140</v>
      </c>
      <c r="C159" s="19" t="s">
        <v>104</v>
      </c>
      <c r="D159" s="12">
        <v>1500002451</v>
      </c>
      <c r="E159" s="10">
        <v>40402</v>
      </c>
      <c r="F159" s="32">
        <v>6701.3</v>
      </c>
      <c r="G159" s="10">
        <v>40402</v>
      </c>
      <c r="H159" s="90">
        <f t="shared" si="9"/>
        <v>0</v>
      </c>
      <c r="I159" s="90">
        <f t="shared" si="10"/>
        <v>6701.3</v>
      </c>
      <c r="J159" s="118" t="str">
        <f t="shared" si="11"/>
        <v>ATRASADO</v>
      </c>
    </row>
    <row r="160" spans="2:10">
      <c r="B160" s="13" t="s">
        <v>140</v>
      </c>
      <c r="C160" s="19" t="s">
        <v>104</v>
      </c>
      <c r="D160" s="12">
        <v>1500010748</v>
      </c>
      <c r="E160" s="10">
        <v>41336</v>
      </c>
      <c r="F160" s="32">
        <v>23492</v>
      </c>
      <c r="G160" s="10">
        <v>41336</v>
      </c>
      <c r="H160" s="90">
        <f t="shared" si="9"/>
        <v>0</v>
      </c>
      <c r="I160" s="90">
        <f t="shared" si="10"/>
        <v>23492</v>
      </c>
      <c r="J160" s="118" t="str">
        <f t="shared" si="11"/>
        <v>ATRASADO</v>
      </c>
    </row>
    <row r="161" spans="2:10">
      <c r="B161" s="13" t="s">
        <v>140</v>
      </c>
      <c r="C161" s="19" t="s">
        <v>104</v>
      </c>
      <c r="D161" s="12">
        <v>1500011566</v>
      </c>
      <c r="E161" s="10">
        <v>41460</v>
      </c>
      <c r="F161" s="32">
        <v>21668</v>
      </c>
      <c r="G161" s="10">
        <v>41460</v>
      </c>
      <c r="H161" s="90">
        <f t="shared" si="9"/>
        <v>0</v>
      </c>
      <c r="I161" s="90">
        <f t="shared" si="10"/>
        <v>21668</v>
      </c>
      <c r="J161" s="118" t="str">
        <f t="shared" si="11"/>
        <v>ATRASADO</v>
      </c>
    </row>
    <row r="162" spans="2:10">
      <c r="B162" s="13" t="s">
        <v>140</v>
      </c>
      <c r="C162" s="19" t="s">
        <v>104</v>
      </c>
      <c r="D162" s="16">
        <v>1500016257</v>
      </c>
      <c r="E162" s="10">
        <v>42309</v>
      </c>
      <c r="F162" s="32">
        <v>43942</v>
      </c>
      <c r="G162" s="10">
        <v>42309</v>
      </c>
      <c r="H162" s="90">
        <f t="shared" si="9"/>
        <v>0</v>
      </c>
      <c r="I162" s="90">
        <f t="shared" si="10"/>
        <v>43942</v>
      </c>
      <c r="J162" s="118" t="str">
        <f t="shared" si="11"/>
        <v>ATRASADO</v>
      </c>
    </row>
    <row r="163" spans="2:10">
      <c r="B163" s="13" t="s">
        <v>140</v>
      </c>
      <c r="C163" s="19" t="s">
        <v>104</v>
      </c>
      <c r="D163" s="16">
        <v>1500016354</v>
      </c>
      <c r="E163" s="10">
        <v>42342</v>
      </c>
      <c r="F163" s="32">
        <v>41726</v>
      </c>
      <c r="G163" s="10">
        <v>42342</v>
      </c>
      <c r="H163" s="90">
        <f t="shared" si="9"/>
        <v>0</v>
      </c>
      <c r="I163" s="90">
        <f t="shared" si="10"/>
        <v>41726</v>
      </c>
      <c r="J163" s="118" t="str">
        <f t="shared" si="11"/>
        <v>ATRASADO</v>
      </c>
    </row>
    <row r="164" spans="2:10">
      <c r="B164" s="13" t="s">
        <v>140</v>
      </c>
      <c r="C164" s="19" t="s">
        <v>104</v>
      </c>
      <c r="D164" s="16">
        <v>1500016451</v>
      </c>
      <c r="E164" s="10">
        <v>42377</v>
      </c>
      <c r="F164" s="32">
        <v>41880</v>
      </c>
      <c r="G164" s="10">
        <v>42377</v>
      </c>
      <c r="H164" s="90">
        <f t="shared" si="9"/>
        <v>0</v>
      </c>
      <c r="I164" s="90">
        <f t="shared" si="10"/>
        <v>41880</v>
      </c>
      <c r="J164" s="118" t="str">
        <f t="shared" si="11"/>
        <v>ATRASADO</v>
      </c>
    </row>
    <row r="165" spans="2:10">
      <c r="B165" s="13" t="s">
        <v>140</v>
      </c>
      <c r="C165" s="19" t="s">
        <v>104</v>
      </c>
      <c r="D165" s="16" t="s">
        <v>599</v>
      </c>
      <c r="E165" s="10">
        <v>43282</v>
      </c>
      <c r="F165" s="32">
        <v>87658</v>
      </c>
      <c r="G165" s="10">
        <v>43282</v>
      </c>
      <c r="H165" s="90">
        <f t="shared" si="9"/>
        <v>0</v>
      </c>
      <c r="I165" s="90">
        <f t="shared" si="10"/>
        <v>87658</v>
      </c>
      <c r="J165" s="118" t="str">
        <f t="shared" si="11"/>
        <v>ATRASADO</v>
      </c>
    </row>
    <row r="166" spans="2:10">
      <c r="B166" s="13" t="s">
        <v>140</v>
      </c>
      <c r="C166" s="19" t="s">
        <v>104</v>
      </c>
      <c r="D166" s="16" t="s">
        <v>600</v>
      </c>
      <c r="E166" s="10">
        <v>43282</v>
      </c>
      <c r="F166" s="32">
        <v>77265</v>
      </c>
      <c r="G166" s="10">
        <v>43282</v>
      </c>
      <c r="H166" s="90">
        <f t="shared" si="9"/>
        <v>0</v>
      </c>
      <c r="I166" s="90">
        <f t="shared" si="10"/>
        <v>77265</v>
      </c>
      <c r="J166" s="118" t="str">
        <f t="shared" si="11"/>
        <v>ATRASADO</v>
      </c>
    </row>
    <row r="167" spans="2:10">
      <c r="B167" s="13" t="s">
        <v>140</v>
      </c>
      <c r="C167" s="19" t="s">
        <v>104</v>
      </c>
      <c r="D167" s="16" t="s">
        <v>601</v>
      </c>
      <c r="E167" s="10">
        <v>43287</v>
      </c>
      <c r="F167" s="32">
        <v>85858</v>
      </c>
      <c r="G167" s="10">
        <v>43287</v>
      </c>
      <c r="H167" s="90">
        <f t="shared" si="9"/>
        <v>0</v>
      </c>
      <c r="I167" s="90">
        <f t="shared" si="10"/>
        <v>85858</v>
      </c>
      <c r="J167" s="118" t="str">
        <f t="shared" si="11"/>
        <v>ATRASADO</v>
      </c>
    </row>
    <row r="168" spans="2:10">
      <c r="B168" s="13" t="s">
        <v>140</v>
      </c>
      <c r="C168" s="19" t="s">
        <v>104</v>
      </c>
      <c r="D168" s="16" t="s">
        <v>685</v>
      </c>
      <c r="E168" s="10">
        <v>43589</v>
      </c>
      <c r="F168" s="32">
        <v>98522</v>
      </c>
      <c r="G168" s="10">
        <v>43589</v>
      </c>
      <c r="H168" s="90">
        <f t="shared" si="9"/>
        <v>0</v>
      </c>
      <c r="I168" s="90">
        <f t="shared" si="10"/>
        <v>98522</v>
      </c>
      <c r="J168" s="118" t="str">
        <f t="shared" si="11"/>
        <v>ATRASADO</v>
      </c>
    </row>
    <row r="169" spans="2:10">
      <c r="B169" s="13" t="s">
        <v>140</v>
      </c>
      <c r="C169" s="19" t="s">
        <v>104</v>
      </c>
      <c r="D169" s="16" t="s">
        <v>710</v>
      </c>
      <c r="E169" s="10">
        <v>1139410</v>
      </c>
      <c r="F169" s="32">
        <v>88219</v>
      </c>
      <c r="G169" s="10">
        <v>1139410</v>
      </c>
      <c r="H169" s="90">
        <f t="shared" si="9"/>
        <v>0</v>
      </c>
      <c r="I169" s="90">
        <f t="shared" si="10"/>
        <v>88219</v>
      </c>
      <c r="J169" s="118" t="str">
        <f t="shared" si="11"/>
        <v>ATRASADO</v>
      </c>
    </row>
    <row r="170" spans="2:10">
      <c r="B170" s="13" t="s">
        <v>140</v>
      </c>
      <c r="C170" s="19" t="s">
        <v>104</v>
      </c>
      <c r="D170" s="80" t="s">
        <v>709</v>
      </c>
      <c r="E170" s="10">
        <v>43651</v>
      </c>
      <c r="F170" s="32">
        <v>97084</v>
      </c>
      <c r="G170" s="10">
        <v>43651</v>
      </c>
      <c r="H170" s="90">
        <f t="shared" si="9"/>
        <v>0</v>
      </c>
      <c r="I170" s="90">
        <f t="shared" si="10"/>
        <v>97084</v>
      </c>
      <c r="J170" s="118" t="str">
        <f t="shared" si="11"/>
        <v>ATRASADO</v>
      </c>
    </row>
    <row r="171" spans="2:10">
      <c r="B171" s="13" t="s">
        <v>140</v>
      </c>
      <c r="C171" s="19" t="s">
        <v>104</v>
      </c>
      <c r="D171" s="80" t="s">
        <v>728</v>
      </c>
      <c r="E171" s="10">
        <v>43683</v>
      </c>
      <c r="F171" s="32">
        <v>86175</v>
      </c>
      <c r="G171" s="10">
        <v>43683</v>
      </c>
      <c r="H171" s="90">
        <f t="shared" si="9"/>
        <v>0</v>
      </c>
      <c r="I171" s="90">
        <f t="shared" si="10"/>
        <v>86175</v>
      </c>
      <c r="J171" s="118" t="str">
        <f t="shared" si="11"/>
        <v>ATRASADO</v>
      </c>
    </row>
    <row r="172" spans="2:10">
      <c r="B172" s="13" t="s">
        <v>140</v>
      </c>
      <c r="C172" s="19" t="s">
        <v>104</v>
      </c>
      <c r="D172" s="80" t="s">
        <v>729</v>
      </c>
      <c r="E172" s="10">
        <v>43744</v>
      </c>
      <c r="F172" s="32">
        <v>99701</v>
      </c>
      <c r="G172" s="10">
        <v>43744</v>
      </c>
      <c r="H172" s="90">
        <f t="shared" si="9"/>
        <v>0</v>
      </c>
      <c r="I172" s="90">
        <f t="shared" si="10"/>
        <v>99701</v>
      </c>
      <c r="J172" s="118" t="str">
        <f t="shared" si="11"/>
        <v>ATRASADO</v>
      </c>
    </row>
    <row r="173" spans="2:10">
      <c r="B173" s="13" t="s">
        <v>140</v>
      </c>
      <c r="C173" s="19" t="s">
        <v>104</v>
      </c>
      <c r="D173" s="80" t="s">
        <v>727</v>
      </c>
      <c r="E173" s="10">
        <v>43714</v>
      </c>
      <c r="F173" s="32">
        <v>103860</v>
      </c>
      <c r="G173" s="10">
        <v>43683</v>
      </c>
      <c r="H173" s="90">
        <f t="shared" si="9"/>
        <v>0</v>
      </c>
      <c r="I173" s="90">
        <f t="shared" si="10"/>
        <v>103860</v>
      </c>
      <c r="J173" s="118" t="str">
        <f t="shared" si="11"/>
        <v>ATRASADO</v>
      </c>
    </row>
    <row r="174" spans="2:10">
      <c r="B174" s="13"/>
      <c r="C174" s="19"/>
      <c r="D174" s="17"/>
      <c r="E174" s="10"/>
      <c r="F174" s="32"/>
      <c r="G174" s="10"/>
    </row>
    <row r="175" spans="2:10">
      <c r="B175" s="13" t="s">
        <v>1013</v>
      </c>
      <c r="C175" s="19" t="s">
        <v>168</v>
      </c>
      <c r="D175" s="17" t="s">
        <v>1014</v>
      </c>
      <c r="E175" s="10">
        <v>44324</v>
      </c>
      <c r="F175" s="32">
        <v>114966.81</v>
      </c>
      <c r="G175" s="10">
        <v>44324</v>
      </c>
      <c r="H175" s="90">
        <f>IF(F175&gt;0,0,"")</f>
        <v>0</v>
      </c>
      <c r="I175" s="90">
        <f>IF(H175=0,F175,"")</f>
        <v>114966.81</v>
      </c>
      <c r="J175" s="118" t="str">
        <f>IF(I175&gt;0,"ATRASADO","")</f>
        <v>ATRASADO</v>
      </c>
    </row>
    <row r="176" spans="2:10">
      <c r="B176" s="13"/>
      <c r="C176" s="19"/>
      <c r="D176" s="17"/>
      <c r="E176" s="10"/>
      <c r="F176" s="32"/>
      <c r="G176" s="10"/>
    </row>
    <row r="177" spans="2:10" ht="24.75">
      <c r="B177" s="13" t="s">
        <v>103</v>
      </c>
      <c r="C177" s="19" t="s">
        <v>104</v>
      </c>
      <c r="D177" s="16">
        <v>102631268</v>
      </c>
      <c r="E177" s="10">
        <v>41433</v>
      </c>
      <c r="F177" s="32">
        <v>1194</v>
      </c>
      <c r="G177" s="10">
        <v>41433</v>
      </c>
      <c r="H177" s="90">
        <f t="shared" ref="H177:H240" si="12">IF(F177&gt;0,0,"")</f>
        <v>0</v>
      </c>
      <c r="I177" s="90">
        <f t="shared" ref="I177:I240" si="13">IF(H177=0,F177,"")</f>
        <v>1194</v>
      </c>
      <c r="J177" s="118" t="str">
        <f t="shared" ref="J177:J240" si="14">IF(I177&gt;0,"ATRASADO","")</f>
        <v>ATRASADO</v>
      </c>
    </row>
    <row r="178" spans="2:10" ht="24.75">
      <c r="B178" s="13" t="s">
        <v>103</v>
      </c>
      <c r="C178" s="19" t="s">
        <v>104</v>
      </c>
      <c r="D178" s="17">
        <v>104372721</v>
      </c>
      <c r="E178" s="10">
        <v>42243</v>
      </c>
      <c r="F178" s="32">
        <v>5187</v>
      </c>
      <c r="G178" s="10">
        <v>42243</v>
      </c>
      <c r="H178" s="90">
        <f t="shared" si="12"/>
        <v>0</v>
      </c>
      <c r="I178" s="90">
        <f t="shared" si="13"/>
        <v>5187</v>
      </c>
      <c r="J178" s="118" t="str">
        <f t="shared" si="14"/>
        <v>ATRASADO</v>
      </c>
    </row>
    <row r="179" spans="2:10" ht="24.75">
      <c r="B179" s="13" t="s">
        <v>103</v>
      </c>
      <c r="C179" s="19" t="s">
        <v>104</v>
      </c>
      <c r="D179" s="16">
        <v>150010739</v>
      </c>
      <c r="E179" s="10">
        <v>41922</v>
      </c>
      <c r="F179" s="32">
        <v>288</v>
      </c>
      <c r="G179" s="10">
        <v>41922</v>
      </c>
      <c r="H179" s="90">
        <f t="shared" si="12"/>
        <v>0</v>
      </c>
      <c r="I179" s="90">
        <f t="shared" si="13"/>
        <v>288</v>
      </c>
      <c r="J179" s="118" t="str">
        <f t="shared" si="14"/>
        <v>ATRASADO</v>
      </c>
    </row>
    <row r="180" spans="2:10" ht="24.75">
      <c r="B180" s="13" t="s">
        <v>103</v>
      </c>
      <c r="C180" s="19" t="s">
        <v>104</v>
      </c>
      <c r="D180" s="17">
        <v>150066661</v>
      </c>
      <c r="E180" s="10">
        <v>42055</v>
      </c>
      <c r="F180" s="32">
        <v>1500</v>
      </c>
      <c r="G180" s="10">
        <v>42055</v>
      </c>
      <c r="H180" s="90">
        <f t="shared" si="12"/>
        <v>0</v>
      </c>
      <c r="I180" s="90">
        <f t="shared" si="13"/>
        <v>1500</v>
      </c>
      <c r="J180" s="118" t="str">
        <f t="shared" si="14"/>
        <v>ATRASADO</v>
      </c>
    </row>
    <row r="181" spans="2:10" ht="24.75">
      <c r="B181" s="13" t="s">
        <v>103</v>
      </c>
      <c r="C181" s="19" t="s">
        <v>104</v>
      </c>
      <c r="D181" s="16">
        <v>150082302</v>
      </c>
      <c r="E181" s="10">
        <v>41455</v>
      </c>
      <c r="F181" s="32">
        <v>720</v>
      </c>
      <c r="G181" s="10">
        <v>41455</v>
      </c>
      <c r="H181" s="90">
        <f t="shared" si="12"/>
        <v>0</v>
      </c>
      <c r="I181" s="90">
        <f t="shared" si="13"/>
        <v>720</v>
      </c>
      <c r="J181" s="118" t="str">
        <f t="shared" si="14"/>
        <v>ATRASADO</v>
      </c>
    </row>
    <row r="182" spans="2:10" ht="24.75">
      <c r="B182" s="13" t="s">
        <v>103</v>
      </c>
      <c r="C182" s="19" t="s">
        <v>104</v>
      </c>
      <c r="D182" s="16">
        <v>150082463</v>
      </c>
      <c r="E182" s="10">
        <v>41455</v>
      </c>
      <c r="F182" s="32">
        <v>12840</v>
      </c>
      <c r="G182" s="10">
        <v>41455</v>
      </c>
      <c r="H182" s="90">
        <f t="shared" si="12"/>
        <v>0</v>
      </c>
      <c r="I182" s="90">
        <f t="shared" si="13"/>
        <v>12840</v>
      </c>
      <c r="J182" s="118" t="str">
        <f t="shared" si="14"/>
        <v>ATRASADO</v>
      </c>
    </row>
    <row r="183" spans="2:10" ht="24.75">
      <c r="B183" s="13" t="s">
        <v>103</v>
      </c>
      <c r="C183" s="19" t="s">
        <v>104</v>
      </c>
      <c r="D183" s="16">
        <v>150082477</v>
      </c>
      <c r="E183" s="10">
        <v>41455</v>
      </c>
      <c r="F183" s="32">
        <v>288</v>
      </c>
      <c r="G183" s="10">
        <v>41455</v>
      </c>
      <c r="H183" s="90">
        <f t="shared" si="12"/>
        <v>0</v>
      </c>
      <c r="I183" s="90">
        <f t="shared" si="13"/>
        <v>288</v>
      </c>
      <c r="J183" s="118" t="str">
        <f t="shared" si="14"/>
        <v>ATRASADO</v>
      </c>
    </row>
    <row r="184" spans="2:10" ht="24.75">
      <c r="B184" s="13" t="s">
        <v>103</v>
      </c>
      <c r="C184" s="19" t="s">
        <v>104</v>
      </c>
      <c r="D184" s="16">
        <v>150082526</v>
      </c>
      <c r="E184" s="10">
        <v>41455</v>
      </c>
      <c r="F184" s="32">
        <v>1500</v>
      </c>
      <c r="G184" s="10">
        <v>41455</v>
      </c>
      <c r="H184" s="90">
        <f t="shared" si="12"/>
        <v>0</v>
      </c>
      <c r="I184" s="90">
        <f t="shared" si="13"/>
        <v>1500</v>
      </c>
      <c r="J184" s="118" t="str">
        <f t="shared" si="14"/>
        <v>ATRASADO</v>
      </c>
    </row>
    <row r="185" spans="2:10" ht="24.75">
      <c r="B185" s="13" t="s">
        <v>103</v>
      </c>
      <c r="C185" s="19" t="s">
        <v>104</v>
      </c>
      <c r="D185" s="16">
        <v>1500068313</v>
      </c>
      <c r="E185" s="10">
        <v>41440</v>
      </c>
      <c r="F185" s="32">
        <v>720</v>
      </c>
      <c r="G185" s="10">
        <v>41440</v>
      </c>
      <c r="H185" s="90">
        <f t="shared" si="12"/>
        <v>0</v>
      </c>
      <c r="I185" s="90">
        <f t="shared" si="13"/>
        <v>720</v>
      </c>
      <c r="J185" s="118" t="str">
        <f t="shared" si="14"/>
        <v>ATRASADO</v>
      </c>
    </row>
    <row r="186" spans="2:10" ht="24.75">
      <c r="B186" s="13" t="s">
        <v>103</v>
      </c>
      <c r="C186" s="19" t="s">
        <v>104</v>
      </c>
      <c r="D186" s="16">
        <v>1500093756</v>
      </c>
      <c r="E186" s="10">
        <v>41737</v>
      </c>
      <c r="F186" s="32">
        <v>1524</v>
      </c>
      <c r="G186" s="10">
        <v>41737</v>
      </c>
      <c r="H186" s="90">
        <f t="shared" si="12"/>
        <v>0</v>
      </c>
      <c r="I186" s="90">
        <f t="shared" si="13"/>
        <v>1524</v>
      </c>
      <c r="J186" s="118" t="str">
        <f t="shared" si="14"/>
        <v>ATRASADO</v>
      </c>
    </row>
    <row r="187" spans="2:10" ht="24.75">
      <c r="B187" s="13" t="s">
        <v>103</v>
      </c>
      <c r="C187" s="19" t="s">
        <v>104</v>
      </c>
      <c r="D187" s="16">
        <v>1500094317</v>
      </c>
      <c r="E187" s="10">
        <v>41744</v>
      </c>
      <c r="F187" s="32">
        <v>720</v>
      </c>
      <c r="G187" s="10">
        <v>41744</v>
      </c>
      <c r="H187" s="90">
        <f t="shared" si="12"/>
        <v>0</v>
      </c>
      <c r="I187" s="90">
        <f t="shared" si="13"/>
        <v>720</v>
      </c>
      <c r="J187" s="118" t="str">
        <f t="shared" si="14"/>
        <v>ATRASADO</v>
      </c>
    </row>
    <row r="188" spans="2:10" ht="24.75">
      <c r="B188" s="13" t="s">
        <v>103</v>
      </c>
      <c r="C188" s="19" t="s">
        <v>104</v>
      </c>
      <c r="D188" s="16">
        <v>1500094503</v>
      </c>
      <c r="E188" s="10">
        <v>41750</v>
      </c>
      <c r="F188" s="32">
        <v>288</v>
      </c>
      <c r="G188" s="10">
        <v>41750</v>
      </c>
      <c r="H188" s="90">
        <f t="shared" si="12"/>
        <v>0</v>
      </c>
      <c r="I188" s="90">
        <f t="shared" si="13"/>
        <v>288</v>
      </c>
      <c r="J188" s="118" t="str">
        <f t="shared" si="14"/>
        <v>ATRASADO</v>
      </c>
    </row>
    <row r="189" spans="2:10" ht="24.75">
      <c r="B189" s="13" t="s">
        <v>103</v>
      </c>
      <c r="C189" s="19" t="s">
        <v>104</v>
      </c>
      <c r="D189" s="16">
        <v>1500094522</v>
      </c>
      <c r="E189" s="10">
        <v>41750</v>
      </c>
      <c r="F189" s="32">
        <v>12840</v>
      </c>
      <c r="G189" s="10">
        <v>41750</v>
      </c>
      <c r="H189" s="90">
        <f t="shared" si="12"/>
        <v>0</v>
      </c>
      <c r="I189" s="90">
        <f t="shared" si="13"/>
        <v>12840</v>
      </c>
      <c r="J189" s="118" t="str">
        <f t="shared" si="14"/>
        <v>ATRASADO</v>
      </c>
    </row>
    <row r="190" spans="2:10" ht="24.75">
      <c r="B190" s="13" t="s">
        <v>103</v>
      </c>
      <c r="C190" s="19" t="s">
        <v>104</v>
      </c>
      <c r="D190" s="17">
        <v>1500108307</v>
      </c>
      <c r="E190" s="10">
        <v>42104</v>
      </c>
      <c r="F190" s="32">
        <v>1689</v>
      </c>
      <c r="G190" s="10">
        <v>42104</v>
      </c>
      <c r="H190" s="90">
        <f t="shared" si="12"/>
        <v>0</v>
      </c>
      <c r="I190" s="90">
        <f t="shared" si="13"/>
        <v>1689</v>
      </c>
      <c r="J190" s="118" t="str">
        <f t="shared" si="14"/>
        <v>ATRASADO</v>
      </c>
    </row>
    <row r="191" spans="2:10" ht="24.75">
      <c r="B191" s="13" t="s">
        <v>103</v>
      </c>
      <c r="C191" s="19" t="s">
        <v>104</v>
      </c>
      <c r="D191" s="17">
        <v>1500108944</v>
      </c>
      <c r="E191" s="10">
        <v>42114</v>
      </c>
      <c r="F191" s="32">
        <v>720</v>
      </c>
      <c r="G191" s="10">
        <v>42114</v>
      </c>
      <c r="H191" s="90">
        <f t="shared" si="12"/>
        <v>0</v>
      </c>
      <c r="I191" s="90">
        <f t="shared" si="13"/>
        <v>720</v>
      </c>
      <c r="J191" s="118" t="str">
        <f t="shared" si="14"/>
        <v>ATRASADO</v>
      </c>
    </row>
    <row r="192" spans="2:10" ht="24.75">
      <c r="B192" s="13" t="s">
        <v>103</v>
      </c>
      <c r="C192" s="19" t="s">
        <v>104</v>
      </c>
      <c r="D192" s="17">
        <v>1500109065</v>
      </c>
      <c r="E192" s="10">
        <v>42116</v>
      </c>
      <c r="F192" s="32">
        <v>12840</v>
      </c>
      <c r="G192" s="10">
        <v>42116</v>
      </c>
      <c r="H192" s="90">
        <f t="shared" si="12"/>
        <v>0</v>
      </c>
      <c r="I192" s="90">
        <f t="shared" si="13"/>
        <v>12840</v>
      </c>
      <c r="J192" s="118" t="str">
        <f t="shared" si="14"/>
        <v>ATRASADO</v>
      </c>
    </row>
    <row r="193" spans="2:10" ht="24.75">
      <c r="B193" s="13" t="s">
        <v>103</v>
      </c>
      <c r="C193" s="19" t="s">
        <v>104</v>
      </c>
      <c r="D193" s="17">
        <v>1500109082</v>
      </c>
      <c r="E193" s="10">
        <v>42116</v>
      </c>
      <c r="F193" s="32">
        <v>288</v>
      </c>
      <c r="G193" s="10">
        <v>42116</v>
      </c>
      <c r="H193" s="90">
        <f t="shared" si="12"/>
        <v>0</v>
      </c>
      <c r="I193" s="90">
        <f t="shared" si="13"/>
        <v>288</v>
      </c>
      <c r="J193" s="118" t="str">
        <f t="shared" si="14"/>
        <v>ATRASADO</v>
      </c>
    </row>
    <row r="194" spans="2:10" ht="24.75">
      <c r="B194" s="13" t="s">
        <v>103</v>
      </c>
      <c r="C194" s="19" t="s">
        <v>104</v>
      </c>
      <c r="D194" s="17">
        <v>1500109124</v>
      </c>
      <c r="E194" s="10">
        <v>42117</v>
      </c>
      <c r="F194" s="32">
        <v>1500</v>
      </c>
      <c r="G194" s="10">
        <v>42117</v>
      </c>
      <c r="H194" s="90">
        <f t="shared" si="12"/>
        <v>0</v>
      </c>
      <c r="I194" s="90">
        <f t="shared" si="13"/>
        <v>1500</v>
      </c>
      <c r="J194" s="118" t="str">
        <f t="shared" si="14"/>
        <v>ATRASADO</v>
      </c>
    </row>
    <row r="195" spans="2:10" ht="24.75">
      <c r="B195" s="13" t="s">
        <v>103</v>
      </c>
      <c r="C195" s="19" t="s">
        <v>104</v>
      </c>
      <c r="D195" s="17">
        <v>1500109502</v>
      </c>
      <c r="E195" s="10">
        <v>42135</v>
      </c>
      <c r="F195" s="32">
        <v>1719</v>
      </c>
      <c r="G195" s="10">
        <v>42135</v>
      </c>
      <c r="H195" s="90">
        <f t="shared" si="12"/>
        <v>0</v>
      </c>
      <c r="I195" s="90">
        <f t="shared" si="13"/>
        <v>1719</v>
      </c>
      <c r="J195" s="118" t="str">
        <f t="shared" si="14"/>
        <v>ATRASADO</v>
      </c>
    </row>
    <row r="196" spans="2:10" ht="24.75">
      <c r="B196" s="13" t="s">
        <v>103</v>
      </c>
      <c r="C196" s="19" t="s">
        <v>104</v>
      </c>
      <c r="D196" s="17">
        <v>1500110201</v>
      </c>
      <c r="E196" s="10">
        <v>42143</v>
      </c>
      <c r="F196" s="32">
        <v>720</v>
      </c>
      <c r="G196" s="10">
        <v>42143</v>
      </c>
      <c r="H196" s="90">
        <f t="shared" si="12"/>
        <v>0</v>
      </c>
      <c r="I196" s="90">
        <f t="shared" si="13"/>
        <v>720</v>
      </c>
      <c r="J196" s="118" t="str">
        <f t="shared" si="14"/>
        <v>ATRASADO</v>
      </c>
    </row>
    <row r="197" spans="2:10" ht="24.75">
      <c r="B197" s="13" t="s">
        <v>103</v>
      </c>
      <c r="C197" s="19" t="s">
        <v>104</v>
      </c>
      <c r="D197" s="17">
        <v>1500110291</v>
      </c>
      <c r="E197" s="10">
        <v>42145</v>
      </c>
      <c r="F197" s="32">
        <v>12840</v>
      </c>
      <c r="G197" s="10">
        <v>42145</v>
      </c>
      <c r="H197" s="90">
        <f t="shared" si="12"/>
        <v>0</v>
      </c>
      <c r="I197" s="90">
        <f t="shared" si="13"/>
        <v>12840</v>
      </c>
      <c r="J197" s="118" t="str">
        <f t="shared" si="14"/>
        <v>ATRASADO</v>
      </c>
    </row>
    <row r="198" spans="2:10" ht="24.75">
      <c r="B198" s="13" t="s">
        <v>103</v>
      </c>
      <c r="C198" s="19" t="s">
        <v>104</v>
      </c>
      <c r="D198" s="17">
        <v>1500110308</v>
      </c>
      <c r="E198" s="10">
        <v>42145</v>
      </c>
      <c r="F198" s="32">
        <v>288</v>
      </c>
      <c r="G198" s="10">
        <v>42145</v>
      </c>
      <c r="H198" s="90">
        <f t="shared" si="12"/>
        <v>0</v>
      </c>
      <c r="I198" s="90">
        <f t="shared" si="13"/>
        <v>288</v>
      </c>
      <c r="J198" s="118" t="str">
        <f t="shared" si="14"/>
        <v>ATRASADO</v>
      </c>
    </row>
    <row r="199" spans="2:10" ht="24.75">
      <c r="B199" s="13" t="s">
        <v>103</v>
      </c>
      <c r="C199" s="19" t="s">
        <v>104</v>
      </c>
      <c r="D199" s="17">
        <v>1500110350</v>
      </c>
      <c r="E199" s="10">
        <v>42146</v>
      </c>
      <c r="F199" s="32">
        <v>1500</v>
      </c>
      <c r="G199" s="10">
        <v>42146</v>
      </c>
      <c r="H199" s="90">
        <f t="shared" si="12"/>
        <v>0</v>
      </c>
      <c r="I199" s="90">
        <f t="shared" si="13"/>
        <v>1500</v>
      </c>
      <c r="J199" s="118" t="str">
        <f t="shared" si="14"/>
        <v>ATRASADO</v>
      </c>
    </row>
    <row r="200" spans="2:10" ht="24.75">
      <c r="B200" s="13" t="s">
        <v>103</v>
      </c>
      <c r="C200" s="19" t="s">
        <v>104</v>
      </c>
      <c r="D200" s="17">
        <v>1500115687</v>
      </c>
      <c r="E200" s="10">
        <v>42286</v>
      </c>
      <c r="F200" s="32">
        <v>426</v>
      </c>
      <c r="G200" s="10">
        <v>42286</v>
      </c>
      <c r="H200" s="90">
        <f t="shared" si="12"/>
        <v>0</v>
      </c>
      <c r="I200" s="90">
        <f t="shared" si="13"/>
        <v>426</v>
      </c>
      <c r="J200" s="118" t="str">
        <f t="shared" si="14"/>
        <v>ATRASADO</v>
      </c>
    </row>
    <row r="201" spans="2:10" ht="24.75">
      <c r="B201" s="13" t="s">
        <v>103</v>
      </c>
      <c r="C201" s="19" t="s">
        <v>104</v>
      </c>
      <c r="D201" s="17">
        <v>1500116317</v>
      </c>
      <c r="E201" s="10">
        <v>42296</v>
      </c>
      <c r="F201" s="32">
        <v>720</v>
      </c>
      <c r="G201" s="10">
        <v>42296</v>
      </c>
      <c r="H201" s="90">
        <f t="shared" si="12"/>
        <v>0</v>
      </c>
      <c r="I201" s="90">
        <f t="shared" si="13"/>
        <v>720</v>
      </c>
      <c r="J201" s="118" t="str">
        <f t="shared" si="14"/>
        <v>ATRASADO</v>
      </c>
    </row>
    <row r="202" spans="2:10" ht="24.75">
      <c r="B202" s="13" t="s">
        <v>103</v>
      </c>
      <c r="C202" s="19" t="s">
        <v>104</v>
      </c>
      <c r="D202" s="17">
        <v>1500116452</v>
      </c>
      <c r="E202" s="10">
        <v>42298</v>
      </c>
      <c r="F202" s="32">
        <v>12840</v>
      </c>
      <c r="G202" s="10">
        <v>42298</v>
      </c>
      <c r="H202" s="90">
        <f t="shared" si="12"/>
        <v>0</v>
      </c>
      <c r="I202" s="90">
        <f t="shared" si="13"/>
        <v>12840</v>
      </c>
      <c r="J202" s="118" t="str">
        <f t="shared" si="14"/>
        <v>ATRASADO</v>
      </c>
    </row>
    <row r="203" spans="2:10" ht="24.75">
      <c r="B203" s="13" t="s">
        <v>103</v>
      </c>
      <c r="C203" s="19" t="s">
        <v>104</v>
      </c>
      <c r="D203" s="17">
        <v>1500116469</v>
      </c>
      <c r="E203" s="10">
        <v>42298</v>
      </c>
      <c r="F203" s="32">
        <v>288</v>
      </c>
      <c r="G203" s="10">
        <v>42298</v>
      </c>
      <c r="H203" s="90">
        <f t="shared" si="12"/>
        <v>0</v>
      </c>
      <c r="I203" s="90">
        <f t="shared" si="13"/>
        <v>288</v>
      </c>
      <c r="J203" s="118" t="str">
        <f t="shared" si="14"/>
        <v>ATRASADO</v>
      </c>
    </row>
    <row r="204" spans="2:10" ht="24.75">
      <c r="B204" s="13" t="s">
        <v>103</v>
      </c>
      <c r="C204" s="19" t="s">
        <v>104</v>
      </c>
      <c r="D204" s="17">
        <v>1500116511</v>
      </c>
      <c r="E204" s="10">
        <v>42299</v>
      </c>
      <c r="F204" s="32">
        <v>1500</v>
      </c>
      <c r="G204" s="10">
        <v>42299</v>
      </c>
      <c r="H204" s="90">
        <f t="shared" si="12"/>
        <v>0</v>
      </c>
      <c r="I204" s="90">
        <f t="shared" si="13"/>
        <v>1500</v>
      </c>
      <c r="J204" s="118" t="str">
        <f t="shared" si="14"/>
        <v>ATRASADO</v>
      </c>
    </row>
    <row r="205" spans="2:10" ht="24.75">
      <c r="B205" s="13" t="s">
        <v>103</v>
      </c>
      <c r="C205" s="19" t="s">
        <v>104</v>
      </c>
      <c r="D205" s="17">
        <v>1500116604</v>
      </c>
      <c r="E205" s="10">
        <v>42305</v>
      </c>
      <c r="F205" s="32">
        <v>291</v>
      </c>
      <c r="G205" s="10">
        <v>42305</v>
      </c>
      <c r="H205" s="90">
        <f t="shared" si="12"/>
        <v>0</v>
      </c>
      <c r="I205" s="90">
        <f t="shared" si="13"/>
        <v>291</v>
      </c>
      <c r="J205" s="118" t="str">
        <f t="shared" si="14"/>
        <v>ATRASADO</v>
      </c>
    </row>
    <row r="206" spans="2:10" ht="24.75">
      <c r="B206" s="13" t="s">
        <v>103</v>
      </c>
      <c r="C206" s="19" t="s">
        <v>104</v>
      </c>
      <c r="D206" s="17">
        <v>1500124374</v>
      </c>
      <c r="E206" s="10">
        <v>42500</v>
      </c>
      <c r="F206" s="32">
        <v>1789</v>
      </c>
      <c r="G206" s="10">
        <v>42500</v>
      </c>
      <c r="H206" s="90">
        <f t="shared" si="12"/>
        <v>0</v>
      </c>
      <c r="I206" s="90">
        <f t="shared" si="13"/>
        <v>1789</v>
      </c>
      <c r="J206" s="118" t="str">
        <f t="shared" si="14"/>
        <v>ATRASADO</v>
      </c>
    </row>
    <row r="207" spans="2:10" ht="24.75">
      <c r="B207" s="13" t="s">
        <v>103</v>
      </c>
      <c r="C207" s="19" t="s">
        <v>104</v>
      </c>
      <c r="D207" s="17">
        <v>1500125006</v>
      </c>
      <c r="E207" s="10">
        <v>42508</v>
      </c>
      <c r="F207" s="32">
        <v>720</v>
      </c>
      <c r="G207" s="10">
        <v>42508</v>
      </c>
      <c r="H207" s="90">
        <f t="shared" si="12"/>
        <v>0</v>
      </c>
      <c r="I207" s="90">
        <f t="shared" si="13"/>
        <v>720</v>
      </c>
      <c r="J207" s="118" t="str">
        <f t="shared" si="14"/>
        <v>ATRASADO</v>
      </c>
    </row>
    <row r="208" spans="2:10" ht="24.75">
      <c r="B208" s="13" t="s">
        <v>103</v>
      </c>
      <c r="C208" s="19" t="s">
        <v>104</v>
      </c>
      <c r="D208" s="17">
        <v>1500125143</v>
      </c>
      <c r="E208" s="10">
        <v>42510</v>
      </c>
      <c r="F208" s="32">
        <v>12840</v>
      </c>
      <c r="G208" s="10">
        <v>42510</v>
      </c>
      <c r="H208" s="90">
        <f t="shared" si="12"/>
        <v>0</v>
      </c>
      <c r="I208" s="90">
        <f t="shared" si="13"/>
        <v>12840</v>
      </c>
      <c r="J208" s="118" t="str">
        <f t="shared" si="14"/>
        <v>ATRASADO</v>
      </c>
    </row>
    <row r="209" spans="2:10" ht="24.75">
      <c r="B209" s="13" t="s">
        <v>103</v>
      </c>
      <c r="C209" s="19" t="s">
        <v>104</v>
      </c>
      <c r="D209" s="17">
        <v>1500125160</v>
      </c>
      <c r="E209" s="10">
        <v>42510</v>
      </c>
      <c r="F209" s="32">
        <v>288</v>
      </c>
      <c r="G209" s="10">
        <v>42510</v>
      </c>
      <c r="H209" s="90">
        <f t="shared" si="12"/>
        <v>0</v>
      </c>
      <c r="I209" s="90">
        <f t="shared" si="13"/>
        <v>288</v>
      </c>
      <c r="J209" s="118" t="str">
        <f t="shared" si="14"/>
        <v>ATRASADO</v>
      </c>
    </row>
    <row r="210" spans="2:10" ht="24.75">
      <c r="B210" s="13" t="s">
        <v>103</v>
      </c>
      <c r="C210" s="19" t="s">
        <v>104</v>
      </c>
      <c r="D210" s="17">
        <v>1500125202</v>
      </c>
      <c r="E210" s="10">
        <v>42513</v>
      </c>
      <c r="F210" s="32">
        <v>1500</v>
      </c>
      <c r="G210" s="10">
        <v>42513</v>
      </c>
      <c r="H210" s="90">
        <f t="shared" si="12"/>
        <v>0</v>
      </c>
      <c r="I210" s="90">
        <f t="shared" si="13"/>
        <v>1500</v>
      </c>
      <c r="J210" s="118" t="str">
        <f t="shared" si="14"/>
        <v>ATRASADO</v>
      </c>
    </row>
    <row r="211" spans="2:10" ht="24.75">
      <c r="B211" s="13" t="s">
        <v>103</v>
      </c>
      <c r="C211" s="19" t="s">
        <v>104</v>
      </c>
      <c r="D211" s="17">
        <v>1500125295</v>
      </c>
      <c r="E211" s="10">
        <v>42517</v>
      </c>
      <c r="F211" s="32">
        <v>315</v>
      </c>
      <c r="G211" s="10">
        <v>42517</v>
      </c>
      <c r="H211" s="90">
        <f t="shared" si="12"/>
        <v>0</v>
      </c>
      <c r="I211" s="90">
        <f t="shared" si="13"/>
        <v>315</v>
      </c>
      <c r="J211" s="118" t="str">
        <f t="shared" si="14"/>
        <v>ATRASADO</v>
      </c>
    </row>
    <row r="212" spans="2:10" ht="24.75">
      <c r="B212" s="13" t="s">
        <v>103</v>
      </c>
      <c r="C212" s="19" t="s">
        <v>104</v>
      </c>
      <c r="D212" s="17">
        <v>1500125617</v>
      </c>
      <c r="E212" s="10">
        <v>42530</v>
      </c>
      <c r="F212" s="32">
        <v>1804</v>
      </c>
      <c r="G212" s="10">
        <v>42530</v>
      </c>
      <c r="H212" s="90">
        <f t="shared" si="12"/>
        <v>0</v>
      </c>
      <c r="I212" s="90">
        <f t="shared" si="13"/>
        <v>1804</v>
      </c>
      <c r="J212" s="118" t="str">
        <f t="shared" si="14"/>
        <v>ATRASADO</v>
      </c>
    </row>
    <row r="213" spans="2:10" ht="24.75">
      <c r="B213" s="13" t="s">
        <v>103</v>
      </c>
      <c r="C213" s="19" t="s">
        <v>104</v>
      </c>
      <c r="D213" s="17">
        <v>1500126248</v>
      </c>
      <c r="E213" s="10">
        <v>42541</v>
      </c>
      <c r="F213" s="32">
        <v>720</v>
      </c>
      <c r="G213" s="10">
        <v>42541</v>
      </c>
      <c r="H213" s="90">
        <f t="shared" si="12"/>
        <v>0</v>
      </c>
      <c r="I213" s="90">
        <f t="shared" si="13"/>
        <v>720</v>
      </c>
      <c r="J213" s="118" t="str">
        <f t="shared" si="14"/>
        <v>ATRASADO</v>
      </c>
    </row>
    <row r="214" spans="2:10" ht="24.75">
      <c r="B214" s="13" t="s">
        <v>103</v>
      </c>
      <c r="C214" s="19" t="s">
        <v>104</v>
      </c>
      <c r="D214" s="17">
        <v>1500126385</v>
      </c>
      <c r="E214" s="10">
        <v>42543</v>
      </c>
      <c r="F214" s="32">
        <v>12840</v>
      </c>
      <c r="G214" s="10">
        <v>42543</v>
      </c>
      <c r="H214" s="90">
        <f t="shared" si="12"/>
        <v>0</v>
      </c>
      <c r="I214" s="90">
        <f t="shared" si="13"/>
        <v>12840</v>
      </c>
      <c r="J214" s="118" t="str">
        <f t="shared" si="14"/>
        <v>ATRASADO</v>
      </c>
    </row>
    <row r="215" spans="2:10" ht="24.75">
      <c r="B215" s="13" t="s">
        <v>103</v>
      </c>
      <c r="C215" s="19" t="s">
        <v>104</v>
      </c>
      <c r="D215" s="17">
        <v>1500126402</v>
      </c>
      <c r="E215" s="10">
        <v>42543</v>
      </c>
      <c r="F215" s="32">
        <v>288</v>
      </c>
      <c r="G215" s="10">
        <v>42543</v>
      </c>
      <c r="H215" s="90">
        <f t="shared" si="12"/>
        <v>0</v>
      </c>
      <c r="I215" s="90">
        <f t="shared" si="13"/>
        <v>288</v>
      </c>
      <c r="J215" s="118" t="str">
        <f t="shared" si="14"/>
        <v>ATRASADO</v>
      </c>
    </row>
    <row r="216" spans="2:10" ht="24.75">
      <c r="B216" s="13" t="s">
        <v>103</v>
      </c>
      <c r="C216" s="19" t="s">
        <v>104</v>
      </c>
      <c r="D216" s="17">
        <v>1500126444</v>
      </c>
      <c r="E216" s="10">
        <v>42544</v>
      </c>
      <c r="F216" s="32">
        <v>1500</v>
      </c>
      <c r="G216" s="10">
        <v>42544</v>
      </c>
      <c r="H216" s="90">
        <f t="shared" si="12"/>
        <v>0</v>
      </c>
      <c r="I216" s="90">
        <f t="shared" si="13"/>
        <v>1500</v>
      </c>
      <c r="J216" s="118" t="str">
        <f t="shared" si="14"/>
        <v>ATRASADO</v>
      </c>
    </row>
    <row r="217" spans="2:10" ht="24.75">
      <c r="B217" s="13" t="s">
        <v>103</v>
      </c>
      <c r="C217" s="19" t="s">
        <v>104</v>
      </c>
      <c r="D217" s="17">
        <v>1500126538</v>
      </c>
      <c r="E217" s="10">
        <v>42549</v>
      </c>
      <c r="F217" s="32">
        <v>323</v>
      </c>
      <c r="G217" s="10">
        <v>42549</v>
      </c>
      <c r="H217" s="90">
        <f t="shared" si="12"/>
        <v>0</v>
      </c>
      <c r="I217" s="90">
        <f t="shared" si="13"/>
        <v>323</v>
      </c>
      <c r="J217" s="118" t="str">
        <f t="shared" si="14"/>
        <v>ATRASADO</v>
      </c>
    </row>
    <row r="218" spans="2:10" ht="24.75">
      <c r="B218" s="13" t="s">
        <v>103</v>
      </c>
      <c r="C218" s="19" t="s">
        <v>104</v>
      </c>
      <c r="D218" s="17">
        <v>1500126860</v>
      </c>
      <c r="E218" s="10">
        <v>42562</v>
      </c>
      <c r="F218" s="32">
        <v>1819</v>
      </c>
      <c r="G218" s="10">
        <v>42562</v>
      </c>
      <c r="H218" s="90">
        <f t="shared" si="12"/>
        <v>0</v>
      </c>
      <c r="I218" s="90">
        <f t="shared" si="13"/>
        <v>1819</v>
      </c>
      <c r="J218" s="118" t="str">
        <f t="shared" si="14"/>
        <v>ATRASADO</v>
      </c>
    </row>
    <row r="219" spans="2:10" ht="24.75">
      <c r="B219" s="13" t="s">
        <v>103</v>
      </c>
      <c r="C219" s="19" t="s">
        <v>104</v>
      </c>
      <c r="D219" s="17">
        <v>1500127503</v>
      </c>
      <c r="E219" s="10">
        <v>42570</v>
      </c>
      <c r="F219" s="32">
        <v>720</v>
      </c>
      <c r="G219" s="10">
        <v>42570</v>
      </c>
      <c r="H219" s="90">
        <f t="shared" si="12"/>
        <v>0</v>
      </c>
      <c r="I219" s="90">
        <f t="shared" si="13"/>
        <v>720</v>
      </c>
      <c r="J219" s="118" t="str">
        <f t="shared" si="14"/>
        <v>ATRASADO</v>
      </c>
    </row>
    <row r="220" spans="2:10" ht="24.75">
      <c r="B220" s="13" t="s">
        <v>103</v>
      </c>
      <c r="C220" s="19" t="s">
        <v>104</v>
      </c>
      <c r="D220" s="17">
        <v>1500127631</v>
      </c>
      <c r="E220" s="10">
        <v>42572</v>
      </c>
      <c r="F220" s="32">
        <v>288</v>
      </c>
      <c r="G220" s="10">
        <v>42572</v>
      </c>
      <c r="H220" s="90">
        <f t="shared" si="12"/>
        <v>0</v>
      </c>
      <c r="I220" s="90">
        <f t="shared" si="13"/>
        <v>288</v>
      </c>
      <c r="J220" s="118" t="str">
        <f t="shared" si="14"/>
        <v>ATRASADO</v>
      </c>
    </row>
    <row r="221" spans="2:10" ht="24.75">
      <c r="B221" s="13" t="s">
        <v>103</v>
      </c>
      <c r="C221" s="19" t="s">
        <v>104</v>
      </c>
      <c r="D221" s="17">
        <v>1500127660</v>
      </c>
      <c r="E221" s="10">
        <v>42572</v>
      </c>
      <c r="F221" s="32">
        <v>12840</v>
      </c>
      <c r="G221" s="10">
        <v>42572</v>
      </c>
      <c r="H221" s="90">
        <f t="shared" si="12"/>
        <v>0</v>
      </c>
      <c r="I221" s="90">
        <f t="shared" si="13"/>
        <v>12840</v>
      </c>
      <c r="J221" s="118" t="str">
        <f t="shared" si="14"/>
        <v>ATRASADO</v>
      </c>
    </row>
    <row r="222" spans="2:10" ht="24.75">
      <c r="B222" s="13" t="s">
        <v>103</v>
      </c>
      <c r="C222" s="19" t="s">
        <v>104</v>
      </c>
      <c r="D222" s="17">
        <v>1500127703</v>
      </c>
      <c r="E222" s="10">
        <v>42573</v>
      </c>
      <c r="F222" s="32">
        <v>1500</v>
      </c>
      <c r="G222" s="10">
        <v>42573</v>
      </c>
      <c r="H222" s="90">
        <f t="shared" si="12"/>
        <v>0</v>
      </c>
      <c r="I222" s="90">
        <f t="shared" si="13"/>
        <v>1500</v>
      </c>
      <c r="J222" s="118" t="str">
        <f t="shared" si="14"/>
        <v>ATRASADO</v>
      </c>
    </row>
    <row r="223" spans="2:10" ht="24.75">
      <c r="B223" s="13" t="s">
        <v>103</v>
      </c>
      <c r="C223" s="19" t="s">
        <v>104</v>
      </c>
      <c r="D223" s="17">
        <v>1500127782</v>
      </c>
      <c r="E223" s="10">
        <v>42578</v>
      </c>
      <c r="F223" s="32">
        <v>327</v>
      </c>
      <c r="G223" s="10">
        <v>42578</v>
      </c>
      <c r="H223" s="90">
        <f t="shared" si="12"/>
        <v>0</v>
      </c>
      <c r="I223" s="90">
        <f t="shared" si="13"/>
        <v>327</v>
      </c>
      <c r="J223" s="118" t="str">
        <f t="shared" si="14"/>
        <v>ATRASADO</v>
      </c>
    </row>
    <row r="224" spans="2:10" ht="24.75">
      <c r="B224" s="13" t="s">
        <v>103</v>
      </c>
      <c r="C224" s="19" t="s">
        <v>104</v>
      </c>
      <c r="D224" s="17">
        <v>1500128104</v>
      </c>
      <c r="E224" s="10">
        <v>42591</v>
      </c>
      <c r="F224" s="32">
        <v>1834</v>
      </c>
      <c r="G224" s="10">
        <v>42591</v>
      </c>
      <c r="H224" s="90">
        <f t="shared" si="12"/>
        <v>0</v>
      </c>
      <c r="I224" s="90">
        <f t="shared" si="13"/>
        <v>1834</v>
      </c>
      <c r="J224" s="118" t="str">
        <f t="shared" si="14"/>
        <v>ATRASADO</v>
      </c>
    </row>
    <row r="225" spans="2:10" ht="24.75">
      <c r="B225" s="13" t="s">
        <v>103</v>
      </c>
      <c r="C225" s="19" t="s">
        <v>104</v>
      </c>
      <c r="D225" s="17">
        <v>1500128739</v>
      </c>
      <c r="E225" s="10">
        <v>42601</v>
      </c>
      <c r="F225" s="32">
        <v>720</v>
      </c>
      <c r="G225" s="10">
        <v>42601</v>
      </c>
      <c r="H225" s="90">
        <f t="shared" si="12"/>
        <v>0</v>
      </c>
      <c r="I225" s="90">
        <f t="shared" si="13"/>
        <v>720</v>
      </c>
      <c r="J225" s="118" t="str">
        <f t="shared" si="14"/>
        <v>ATRASADO</v>
      </c>
    </row>
    <row r="226" spans="2:10" ht="24.75">
      <c r="B226" s="13" t="s">
        <v>103</v>
      </c>
      <c r="C226" s="19" t="s">
        <v>104</v>
      </c>
      <c r="D226" s="17">
        <v>1500128876</v>
      </c>
      <c r="E226" s="10">
        <v>42605</v>
      </c>
      <c r="F226" s="32">
        <v>12840</v>
      </c>
      <c r="G226" s="10">
        <v>42605</v>
      </c>
      <c r="H226" s="90">
        <f t="shared" si="12"/>
        <v>0</v>
      </c>
      <c r="I226" s="90">
        <f t="shared" si="13"/>
        <v>12840</v>
      </c>
      <c r="J226" s="118" t="str">
        <f t="shared" si="14"/>
        <v>ATRASADO</v>
      </c>
    </row>
    <row r="227" spans="2:10" ht="24.75">
      <c r="B227" s="13" t="s">
        <v>103</v>
      </c>
      <c r="C227" s="19" t="s">
        <v>104</v>
      </c>
      <c r="D227" s="17">
        <v>1500128893</v>
      </c>
      <c r="E227" s="10">
        <v>42605</v>
      </c>
      <c r="F227" s="32">
        <v>288</v>
      </c>
      <c r="G227" s="10">
        <v>42605</v>
      </c>
      <c r="H227" s="90">
        <f t="shared" si="12"/>
        <v>0</v>
      </c>
      <c r="I227" s="90">
        <f t="shared" si="13"/>
        <v>288</v>
      </c>
      <c r="J227" s="118" t="str">
        <f t="shared" si="14"/>
        <v>ATRASADO</v>
      </c>
    </row>
    <row r="228" spans="2:10" ht="24.75">
      <c r="B228" s="13" t="s">
        <v>103</v>
      </c>
      <c r="C228" s="19" t="s">
        <v>104</v>
      </c>
      <c r="D228" s="17">
        <v>1500128935</v>
      </c>
      <c r="E228" s="10">
        <v>42606</v>
      </c>
      <c r="F228" s="32">
        <v>1500</v>
      </c>
      <c r="G228" s="10">
        <v>42606</v>
      </c>
      <c r="H228" s="90">
        <f t="shared" si="12"/>
        <v>0</v>
      </c>
      <c r="I228" s="90">
        <f t="shared" si="13"/>
        <v>1500</v>
      </c>
      <c r="J228" s="118" t="str">
        <f t="shared" si="14"/>
        <v>ATRASADO</v>
      </c>
    </row>
    <row r="229" spans="2:10" ht="24.75">
      <c r="B229" s="13" t="s">
        <v>103</v>
      </c>
      <c r="C229" s="19" t="s">
        <v>104</v>
      </c>
      <c r="D229" s="17">
        <v>1500129028</v>
      </c>
      <c r="E229" s="10">
        <v>42611</v>
      </c>
      <c r="F229" s="32">
        <v>327</v>
      </c>
      <c r="G229" s="10">
        <v>42611</v>
      </c>
      <c r="H229" s="90">
        <f t="shared" si="12"/>
        <v>0</v>
      </c>
      <c r="I229" s="90">
        <f t="shared" si="13"/>
        <v>327</v>
      </c>
      <c r="J229" s="118" t="str">
        <f t="shared" si="14"/>
        <v>ATRASADO</v>
      </c>
    </row>
    <row r="230" spans="2:10" ht="24.75">
      <c r="B230" s="13" t="s">
        <v>103</v>
      </c>
      <c r="C230" s="19" t="s">
        <v>104</v>
      </c>
      <c r="D230" s="17">
        <v>1500129348</v>
      </c>
      <c r="E230" s="10">
        <v>42622</v>
      </c>
      <c r="F230" s="32">
        <v>1849</v>
      </c>
      <c r="G230" s="10">
        <v>42622</v>
      </c>
      <c r="H230" s="90">
        <f t="shared" si="12"/>
        <v>0</v>
      </c>
      <c r="I230" s="90">
        <f t="shared" si="13"/>
        <v>1849</v>
      </c>
      <c r="J230" s="118" t="str">
        <f t="shared" si="14"/>
        <v>ATRASADO</v>
      </c>
    </row>
    <row r="231" spans="2:10" ht="24.75">
      <c r="B231" s="13" t="s">
        <v>103</v>
      </c>
      <c r="C231" s="19" t="s">
        <v>104</v>
      </c>
      <c r="D231" s="17">
        <v>1500129983</v>
      </c>
      <c r="E231" s="10">
        <v>42633</v>
      </c>
      <c r="F231" s="32">
        <v>720</v>
      </c>
      <c r="G231" s="10">
        <v>42633</v>
      </c>
      <c r="H231" s="90">
        <f t="shared" si="12"/>
        <v>0</v>
      </c>
      <c r="I231" s="90">
        <f t="shared" si="13"/>
        <v>720</v>
      </c>
      <c r="J231" s="118" t="str">
        <f t="shared" si="14"/>
        <v>ATRASADO</v>
      </c>
    </row>
    <row r="232" spans="2:10" ht="24.75">
      <c r="B232" s="13" t="s">
        <v>103</v>
      </c>
      <c r="C232" s="19" t="s">
        <v>104</v>
      </c>
      <c r="D232" s="17">
        <v>1500130121</v>
      </c>
      <c r="E232" s="10">
        <v>42635</v>
      </c>
      <c r="F232" s="32">
        <v>12840</v>
      </c>
      <c r="G232" s="10">
        <v>42635</v>
      </c>
      <c r="H232" s="90">
        <f t="shared" si="12"/>
        <v>0</v>
      </c>
      <c r="I232" s="90">
        <f t="shared" si="13"/>
        <v>12840</v>
      </c>
      <c r="J232" s="118" t="str">
        <f t="shared" si="14"/>
        <v>ATRASADO</v>
      </c>
    </row>
    <row r="233" spans="2:10" ht="24.75">
      <c r="B233" s="13" t="s">
        <v>103</v>
      </c>
      <c r="C233" s="19" t="s">
        <v>104</v>
      </c>
      <c r="D233" s="17">
        <v>1500130136</v>
      </c>
      <c r="E233" s="10">
        <v>42635</v>
      </c>
      <c r="F233" s="32">
        <v>288</v>
      </c>
      <c r="G233" s="10">
        <v>42635</v>
      </c>
      <c r="H233" s="90">
        <f t="shared" si="12"/>
        <v>0</v>
      </c>
      <c r="I233" s="90">
        <f t="shared" si="13"/>
        <v>288</v>
      </c>
      <c r="J233" s="118" t="str">
        <f t="shared" si="14"/>
        <v>ATRASADO</v>
      </c>
    </row>
    <row r="234" spans="2:10" ht="24.75">
      <c r="B234" s="13" t="s">
        <v>103</v>
      </c>
      <c r="C234" s="19" t="s">
        <v>104</v>
      </c>
      <c r="D234" s="17">
        <v>1500130177</v>
      </c>
      <c r="E234" s="10">
        <v>42636</v>
      </c>
      <c r="F234" s="32">
        <v>1500</v>
      </c>
      <c r="G234" s="10">
        <v>42636</v>
      </c>
      <c r="H234" s="90">
        <f t="shared" si="12"/>
        <v>0</v>
      </c>
      <c r="I234" s="90">
        <f t="shared" si="13"/>
        <v>1500</v>
      </c>
      <c r="J234" s="118" t="str">
        <f t="shared" si="14"/>
        <v>ATRASADO</v>
      </c>
    </row>
    <row r="235" spans="2:10" ht="24.75">
      <c r="B235" s="13" t="s">
        <v>103</v>
      </c>
      <c r="C235" s="19" t="s">
        <v>104</v>
      </c>
      <c r="D235" s="17">
        <v>1500130274</v>
      </c>
      <c r="E235" s="10">
        <v>42641</v>
      </c>
      <c r="F235" s="32">
        <v>335</v>
      </c>
      <c r="G235" s="10">
        <v>42641</v>
      </c>
      <c r="H235" s="90">
        <f t="shared" si="12"/>
        <v>0</v>
      </c>
      <c r="I235" s="90">
        <f t="shared" si="13"/>
        <v>335</v>
      </c>
      <c r="J235" s="118" t="str">
        <f t="shared" si="14"/>
        <v>ATRASADO</v>
      </c>
    </row>
    <row r="236" spans="2:10" ht="24.75">
      <c r="B236" s="13" t="s">
        <v>103</v>
      </c>
      <c r="C236" s="19" t="s">
        <v>104</v>
      </c>
      <c r="D236" s="17">
        <v>1500131234</v>
      </c>
      <c r="E236" s="10">
        <v>42662</v>
      </c>
      <c r="F236" s="32">
        <v>720</v>
      </c>
      <c r="G236" s="10">
        <v>42662</v>
      </c>
      <c r="H236" s="90">
        <f t="shared" si="12"/>
        <v>0</v>
      </c>
      <c r="I236" s="90">
        <f t="shared" si="13"/>
        <v>720</v>
      </c>
      <c r="J236" s="118" t="str">
        <f t="shared" si="14"/>
        <v>ATRASADO</v>
      </c>
    </row>
    <row r="237" spans="2:10" ht="24.75">
      <c r="B237" s="13" t="s">
        <v>103</v>
      </c>
      <c r="C237" s="19" t="s">
        <v>104</v>
      </c>
      <c r="D237" s="17">
        <v>1500131361</v>
      </c>
      <c r="E237" s="10">
        <v>42664</v>
      </c>
      <c r="F237" s="32">
        <v>12840</v>
      </c>
      <c r="G237" s="10">
        <v>42664</v>
      </c>
      <c r="H237" s="90">
        <f t="shared" si="12"/>
        <v>0</v>
      </c>
      <c r="I237" s="90">
        <f t="shared" si="13"/>
        <v>12840</v>
      </c>
      <c r="J237" s="118" t="str">
        <f t="shared" si="14"/>
        <v>ATRASADO</v>
      </c>
    </row>
    <row r="238" spans="2:10" ht="24.75">
      <c r="B238" s="13" t="s">
        <v>103</v>
      </c>
      <c r="C238" s="19" t="s">
        <v>104</v>
      </c>
      <c r="D238" s="17">
        <v>1500131376</v>
      </c>
      <c r="E238" s="10">
        <v>40472</v>
      </c>
      <c r="F238" s="32">
        <v>288</v>
      </c>
      <c r="G238" s="10">
        <v>40472</v>
      </c>
      <c r="H238" s="90">
        <f t="shared" si="12"/>
        <v>0</v>
      </c>
      <c r="I238" s="90">
        <f t="shared" si="13"/>
        <v>288</v>
      </c>
      <c r="J238" s="118" t="str">
        <f t="shared" si="14"/>
        <v>ATRASADO</v>
      </c>
    </row>
    <row r="239" spans="2:10" ht="24.75">
      <c r="B239" s="13" t="s">
        <v>103</v>
      </c>
      <c r="C239" s="19" t="s">
        <v>104</v>
      </c>
      <c r="D239" s="17">
        <v>1500131417</v>
      </c>
      <c r="E239" s="10" t="s">
        <v>105</v>
      </c>
      <c r="F239" s="32">
        <v>1500</v>
      </c>
      <c r="G239" s="10" t="s">
        <v>105</v>
      </c>
      <c r="H239" s="90">
        <f t="shared" si="12"/>
        <v>0</v>
      </c>
      <c r="I239" s="90">
        <f t="shared" si="13"/>
        <v>1500</v>
      </c>
      <c r="J239" s="118" t="str">
        <f t="shared" si="14"/>
        <v>ATRASADO</v>
      </c>
    </row>
    <row r="240" spans="2:10" ht="24.75">
      <c r="B240" s="13" t="s">
        <v>103</v>
      </c>
      <c r="C240" s="19" t="s">
        <v>104</v>
      </c>
      <c r="D240" s="17">
        <v>1500131509</v>
      </c>
      <c r="E240" s="10">
        <v>42670</v>
      </c>
      <c r="F240" s="32">
        <v>335</v>
      </c>
      <c r="G240" s="10">
        <v>42670</v>
      </c>
      <c r="H240" s="90">
        <f t="shared" si="12"/>
        <v>0</v>
      </c>
      <c r="I240" s="90">
        <f t="shared" si="13"/>
        <v>335</v>
      </c>
      <c r="J240" s="118" t="str">
        <f t="shared" si="14"/>
        <v>ATRASADO</v>
      </c>
    </row>
    <row r="241" spans="2:10" ht="24.75">
      <c r="B241" s="13" t="s">
        <v>103</v>
      </c>
      <c r="C241" s="19" t="s">
        <v>104</v>
      </c>
      <c r="D241" s="17">
        <v>1500133715</v>
      </c>
      <c r="E241" s="10">
        <v>42723</v>
      </c>
      <c r="F241" s="32">
        <v>720</v>
      </c>
      <c r="G241" s="10">
        <v>42723</v>
      </c>
      <c r="H241" s="90">
        <f t="shared" ref="H241:H304" si="15">IF(F241&gt;0,0,"")</f>
        <v>0</v>
      </c>
      <c r="I241" s="90">
        <f t="shared" ref="I241:I304" si="16">IF(H241=0,F241,"")</f>
        <v>720</v>
      </c>
      <c r="J241" s="118" t="str">
        <f t="shared" ref="J241:J304" si="17">IF(I241&gt;0,"ATRASADO","")</f>
        <v>ATRASADO</v>
      </c>
    </row>
    <row r="242" spans="2:10" ht="24.75">
      <c r="B242" s="13" t="s">
        <v>103</v>
      </c>
      <c r="C242" s="19" t="s">
        <v>104</v>
      </c>
      <c r="D242" s="17">
        <v>1500133853</v>
      </c>
      <c r="E242" s="10">
        <v>42725</v>
      </c>
      <c r="F242" s="32">
        <v>110405</v>
      </c>
      <c r="G242" s="10">
        <v>42725</v>
      </c>
      <c r="H242" s="90">
        <f t="shared" si="15"/>
        <v>0</v>
      </c>
      <c r="I242" s="90">
        <f t="shared" si="16"/>
        <v>110405</v>
      </c>
      <c r="J242" s="118" t="str">
        <f t="shared" si="17"/>
        <v>ATRASADO</v>
      </c>
    </row>
    <row r="243" spans="2:10" ht="24.75">
      <c r="B243" s="13" t="s">
        <v>103</v>
      </c>
      <c r="C243" s="19" t="s">
        <v>104</v>
      </c>
      <c r="D243" s="17">
        <v>1500133868</v>
      </c>
      <c r="E243" s="10">
        <v>42725</v>
      </c>
      <c r="F243" s="32">
        <v>288</v>
      </c>
      <c r="G243" s="10">
        <v>42725</v>
      </c>
      <c r="H243" s="90">
        <f t="shared" si="15"/>
        <v>0</v>
      </c>
      <c r="I243" s="90">
        <f t="shared" si="16"/>
        <v>288</v>
      </c>
      <c r="J243" s="118" t="str">
        <f t="shared" si="17"/>
        <v>ATRASADO</v>
      </c>
    </row>
    <row r="244" spans="2:10" ht="24.75">
      <c r="B244" s="13" t="s">
        <v>103</v>
      </c>
      <c r="C244" s="19" t="s">
        <v>104</v>
      </c>
      <c r="D244" s="17">
        <v>1500133909</v>
      </c>
      <c r="E244" s="10">
        <v>42726</v>
      </c>
      <c r="F244" s="32">
        <v>1500</v>
      </c>
      <c r="G244" s="10">
        <v>42726</v>
      </c>
      <c r="H244" s="90">
        <f t="shared" si="15"/>
        <v>0</v>
      </c>
      <c r="I244" s="90">
        <f t="shared" si="16"/>
        <v>1500</v>
      </c>
      <c r="J244" s="118" t="str">
        <f t="shared" si="17"/>
        <v>ATRASADO</v>
      </c>
    </row>
    <row r="245" spans="2:10" ht="24.75">
      <c r="B245" s="13" t="s">
        <v>103</v>
      </c>
      <c r="C245" s="19" t="s">
        <v>104</v>
      </c>
      <c r="D245" s="17">
        <v>1500134007</v>
      </c>
      <c r="E245" s="10">
        <v>42731</v>
      </c>
      <c r="F245" s="32">
        <v>347</v>
      </c>
      <c r="G245" s="10">
        <v>42731</v>
      </c>
      <c r="H245" s="90">
        <f t="shared" si="15"/>
        <v>0</v>
      </c>
      <c r="I245" s="90">
        <f t="shared" si="16"/>
        <v>347</v>
      </c>
      <c r="J245" s="118" t="str">
        <f t="shared" si="17"/>
        <v>ATRASADO</v>
      </c>
    </row>
    <row r="246" spans="2:10" ht="24.75">
      <c r="B246" s="13" t="s">
        <v>103</v>
      </c>
      <c r="C246" s="19" t="s">
        <v>104</v>
      </c>
      <c r="D246" s="17">
        <v>1500141314</v>
      </c>
      <c r="E246" s="10">
        <v>42895</v>
      </c>
      <c r="F246" s="32">
        <v>1500</v>
      </c>
      <c r="G246" s="10">
        <v>42895</v>
      </c>
      <c r="H246" s="90">
        <f t="shared" si="15"/>
        <v>0</v>
      </c>
      <c r="I246" s="90">
        <f t="shared" si="16"/>
        <v>1500</v>
      </c>
      <c r="J246" s="118" t="str">
        <f t="shared" si="17"/>
        <v>ATRASADO</v>
      </c>
    </row>
    <row r="247" spans="2:10" ht="24.75">
      <c r="B247" s="13" t="s">
        <v>103</v>
      </c>
      <c r="C247" s="19" t="s">
        <v>104</v>
      </c>
      <c r="D247" s="17">
        <v>1500141422</v>
      </c>
      <c r="E247" s="10">
        <v>42898</v>
      </c>
      <c r="F247" s="32">
        <v>12840</v>
      </c>
      <c r="G247" s="10">
        <v>42898</v>
      </c>
      <c r="H247" s="90">
        <f t="shared" si="15"/>
        <v>0</v>
      </c>
      <c r="I247" s="90">
        <f t="shared" si="16"/>
        <v>12840</v>
      </c>
      <c r="J247" s="118" t="str">
        <f t="shared" si="17"/>
        <v>ATRASADO</v>
      </c>
    </row>
    <row r="248" spans="2:10" ht="24.75">
      <c r="B248" s="13" t="s">
        <v>103</v>
      </c>
      <c r="C248" s="19" t="s">
        <v>104</v>
      </c>
      <c r="D248" s="17">
        <v>1500141425</v>
      </c>
      <c r="E248" s="10">
        <v>42898</v>
      </c>
      <c r="F248" s="32">
        <v>288</v>
      </c>
      <c r="G248" s="10">
        <v>42898</v>
      </c>
      <c r="H248" s="90">
        <f t="shared" si="15"/>
        <v>0</v>
      </c>
      <c r="I248" s="90">
        <f t="shared" si="16"/>
        <v>288</v>
      </c>
      <c r="J248" s="118" t="str">
        <f t="shared" si="17"/>
        <v>ATRASADO</v>
      </c>
    </row>
    <row r="249" spans="2:10" ht="24.75">
      <c r="B249" s="13" t="s">
        <v>103</v>
      </c>
      <c r="C249" s="19" t="s">
        <v>104</v>
      </c>
      <c r="D249" s="17">
        <v>1500141515</v>
      </c>
      <c r="E249" s="10">
        <v>42900</v>
      </c>
      <c r="F249" s="32">
        <v>363</v>
      </c>
      <c r="G249" s="10">
        <v>42900</v>
      </c>
      <c r="H249" s="90">
        <f t="shared" si="15"/>
        <v>0</v>
      </c>
      <c r="I249" s="90">
        <f t="shared" si="16"/>
        <v>363</v>
      </c>
      <c r="J249" s="118" t="str">
        <f t="shared" si="17"/>
        <v>ATRASADO</v>
      </c>
    </row>
    <row r="250" spans="2:10" ht="24.75">
      <c r="B250" s="13" t="s">
        <v>103</v>
      </c>
      <c r="C250" s="19" t="s">
        <v>104</v>
      </c>
      <c r="D250" s="17">
        <v>1500142575</v>
      </c>
      <c r="E250" s="10">
        <v>42928</v>
      </c>
      <c r="F250" s="32">
        <v>367</v>
      </c>
      <c r="G250" s="10">
        <v>42928</v>
      </c>
      <c r="H250" s="90">
        <f t="shared" si="15"/>
        <v>0</v>
      </c>
      <c r="I250" s="90">
        <f t="shared" si="16"/>
        <v>367</v>
      </c>
      <c r="J250" s="118" t="str">
        <f t="shared" si="17"/>
        <v>ATRASADO</v>
      </c>
    </row>
    <row r="251" spans="2:10" ht="24.75">
      <c r="B251" s="13" t="s">
        <v>103</v>
      </c>
      <c r="C251" s="19" t="s">
        <v>104</v>
      </c>
      <c r="D251" s="17">
        <v>1500142597</v>
      </c>
      <c r="E251" s="10">
        <v>42928</v>
      </c>
      <c r="F251" s="32">
        <v>12840</v>
      </c>
      <c r="G251" s="10">
        <v>42928</v>
      </c>
      <c r="H251" s="90">
        <f t="shared" si="15"/>
        <v>0</v>
      </c>
      <c r="I251" s="90">
        <f t="shared" si="16"/>
        <v>12840</v>
      </c>
      <c r="J251" s="118" t="str">
        <f t="shared" si="17"/>
        <v>ATRASADO</v>
      </c>
    </row>
    <row r="252" spans="2:10" ht="24.75">
      <c r="B252" s="13" t="s">
        <v>103</v>
      </c>
      <c r="C252" s="19" t="s">
        <v>104</v>
      </c>
      <c r="D252" s="17">
        <v>1500142600</v>
      </c>
      <c r="E252" s="10">
        <v>42928</v>
      </c>
      <c r="F252" s="32">
        <v>288</v>
      </c>
      <c r="G252" s="10">
        <v>42928</v>
      </c>
      <c r="H252" s="90">
        <f t="shared" si="15"/>
        <v>0</v>
      </c>
      <c r="I252" s="90">
        <f t="shared" si="16"/>
        <v>288</v>
      </c>
      <c r="J252" s="118" t="str">
        <f t="shared" si="17"/>
        <v>ATRASADO</v>
      </c>
    </row>
    <row r="253" spans="2:10" ht="24.75">
      <c r="B253" s="13" t="s">
        <v>103</v>
      </c>
      <c r="C253" s="19" t="s">
        <v>104</v>
      </c>
      <c r="D253" s="17">
        <v>1500142629</v>
      </c>
      <c r="E253" s="10">
        <v>42928</v>
      </c>
      <c r="F253" s="32">
        <v>1500</v>
      </c>
      <c r="G253" s="10">
        <v>42928</v>
      </c>
      <c r="H253" s="90">
        <f t="shared" si="15"/>
        <v>0</v>
      </c>
      <c r="I253" s="90">
        <f t="shared" si="16"/>
        <v>1500</v>
      </c>
      <c r="J253" s="118" t="str">
        <f t="shared" si="17"/>
        <v>ATRASADO</v>
      </c>
    </row>
    <row r="254" spans="2:10" ht="24.75">
      <c r="B254" s="13" t="s">
        <v>103</v>
      </c>
      <c r="C254" s="19" t="s">
        <v>104</v>
      </c>
      <c r="D254" s="17">
        <v>1500142699</v>
      </c>
      <c r="E254" s="10">
        <v>42928</v>
      </c>
      <c r="F254" s="32">
        <v>720</v>
      </c>
      <c r="G254" s="10">
        <v>42928</v>
      </c>
      <c r="H254" s="90">
        <f t="shared" si="15"/>
        <v>0</v>
      </c>
      <c r="I254" s="90">
        <f t="shared" si="16"/>
        <v>720</v>
      </c>
      <c r="J254" s="118" t="str">
        <f t="shared" si="17"/>
        <v>ATRASADO</v>
      </c>
    </row>
    <row r="255" spans="2:10" ht="24.75">
      <c r="B255" s="13" t="s">
        <v>103</v>
      </c>
      <c r="C255" s="19" t="s">
        <v>104</v>
      </c>
      <c r="D255" s="17">
        <v>1500143890</v>
      </c>
      <c r="E255" s="10">
        <v>42961</v>
      </c>
      <c r="F255" s="32">
        <v>720</v>
      </c>
      <c r="G255" s="10">
        <v>42961</v>
      </c>
      <c r="H255" s="90">
        <f t="shared" si="15"/>
        <v>0</v>
      </c>
      <c r="I255" s="90">
        <f t="shared" si="16"/>
        <v>720</v>
      </c>
      <c r="J255" s="118" t="str">
        <f t="shared" si="17"/>
        <v>ATRASADO</v>
      </c>
    </row>
    <row r="256" spans="2:10" ht="24.75">
      <c r="B256" s="13" t="s">
        <v>103</v>
      </c>
      <c r="C256" s="19" t="s">
        <v>104</v>
      </c>
      <c r="D256" s="17">
        <v>1500143922</v>
      </c>
      <c r="E256" s="10">
        <v>42961</v>
      </c>
      <c r="F256" s="32">
        <v>12840</v>
      </c>
      <c r="G256" s="10">
        <v>42961</v>
      </c>
      <c r="H256" s="90">
        <f t="shared" si="15"/>
        <v>0</v>
      </c>
      <c r="I256" s="90">
        <f t="shared" si="16"/>
        <v>12840</v>
      </c>
      <c r="J256" s="118" t="str">
        <f t="shared" si="17"/>
        <v>ATRASADO</v>
      </c>
    </row>
    <row r="257" spans="2:10" ht="24.75">
      <c r="B257" s="13" t="s">
        <v>103</v>
      </c>
      <c r="C257" s="19" t="s">
        <v>104</v>
      </c>
      <c r="D257" s="17">
        <v>1500143925</v>
      </c>
      <c r="E257" s="10">
        <v>42961</v>
      </c>
      <c r="F257" s="32">
        <v>288</v>
      </c>
      <c r="G257" s="10">
        <v>42961</v>
      </c>
      <c r="H257" s="90">
        <f t="shared" si="15"/>
        <v>0</v>
      </c>
      <c r="I257" s="90">
        <f t="shared" si="16"/>
        <v>288</v>
      </c>
      <c r="J257" s="118" t="str">
        <f t="shared" si="17"/>
        <v>ATRASADO</v>
      </c>
    </row>
    <row r="258" spans="2:10" ht="24.75">
      <c r="B258" s="13" t="s">
        <v>103</v>
      </c>
      <c r="C258" s="19" t="s">
        <v>104</v>
      </c>
      <c r="D258" s="17">
        <v>1500143965</v>
      </c>
      <c r="E258" s="10">
        <v>42961</v>
      </c>
      <c r="F258" s="32">
        <v>1500</v>
      </c>
      <c r="G258" s="10">
        <v>42961</v>
      </c>
      <c r="H258" s="90">
        <f t="shared" si="15"/>
        <v>0</v>
      </c>
      <c r="I258" s="90">
        <f t="shared" si="16"/>
        <v>1500</v>
      </c>
      <c r="J258" s="118" t="str">
        <f t="shared" si="17"/>
        <v>ATRASADO</v>
      </c>
    </row>
    <row r="259" spans="2:10" ht="24.75">
      <c r="B259" s="13" t="s">
        <v>103</v>
      </c>
      <c r="C259" s="19" t="s">
        <v>104</v>
      </c>
      <c r="D259" s="17">
        <v>1500144001</v>
      </c>
      <c r="E259" s="10">
        <v>42961</v>
      </c>
      <c r="F259" s="32">
        <v>371</v>
      </c>
      <c r="G259" s="10">
        <v>42961</v>
      </c>
      <c r="H259" s="90">
        <f t="shared" si="15"/>
        <v>0</v>
      </c>
      <c r="I259" s="90">
        <f t="shared" si="16"/>
        <v>371</v>
      </c>
      <c r="J259" s="118" t="str">
        <f t="shared" si="17"/>
        <v>ATRASADO</v>
      </c>
    </row>
    <row r="260" spans="2:10" ht="24.75">
      <c r="B260" s="13" t="s">
        <v>103</v>
      </c>
      <c r="C260" s="19" t="s">
        <v>104</v>
      </c>
      <c r="D260" s="17">
        <v>11500132466</v>
      </c>
      <c r="E260" s="10">
        <v>42692</v>
      </c>
      <c r="F260" s="32">
        <v>720</v>
      </c>
      <c r="G260" s="10">
        <v>42692</v>
      </c>
      <c r="H260" s="90">
        <f t="shared" si="15"/>
        <v>0</v>
      </c>
      <c r="I260" s="90">
        <f t="shared" si="16"/>
        <v>720</v>
      </c>
      <c r="J260" s="118" t="str">
        <f t="shared" si="17"/>
        <v>ATRASADO</v>
      </c>
    </row>
    <row r="261" spans="2:10" ht="24.75">
      <c r="B261" s="13" t="s">
        <v>103</v>
      </c>
      <c r="C261" s="19" t="s">
        <v>104</v>
      </c>
      <c r="D261" s="17">
        <v>11500132604</v>
      </c>
      <c r="E261" s="10">
        <v>42696</v>
      </c>
      <c r="F261" s="32">
        <v>12840</v>
      </c>
      <c r="G261" s="10">
        <v>42696</v>
      </c>
      <c r="H261" s="90">
        <f t="shared" si="15"/>
        <v>0</v>
      </c>
      <c r="I261" s="90">
        <f t="shared" si="16"/>
        <v>12840</v>
      </c>
      <c r="J261" s="118" t="str">
        <f t="shared" si="17"/>
        <v>ATRASADO</v>
      </c>
    </row>
    <row r="262" spans="2:10" ht="24.75">
      <c r="B262" s="13" t="s">
        <v>103</v>
      </c>
      <c r="C262" s="19" t="s">
        <v>104</v>
      </c>
      <c r="D262" s="17">
        <v>11500132619</v>
      </c>
      <c r="E262" s="10">
        <v>42696</v>
      </c>
      <c r="F262" s="32">
        <v>288</v>
      </c>
      <c r="G262" s="10">
        <v>42696</v>
      </c>
      <c r="H262" s="90">
        <f t="shared" si="15"/>
        <v>0</v>
      </c>
      <c r="I262" s="90">
        <f t="shared" si="16"/>
        <v>288</v>
      </c>
      <c r="J262" s="118" t="str">
        <f t="shared" si="17"/>
        <v>ATRASADO</v>
      </c>
    </row>
    <row r="263" spans="2:10" ht="24.75">
      <c r="B263" s="13" t="s">
        <v>103</v>
      </c>
      <c r="C263" s="19" t="s">
        <v>104</v>
      </c>
      <c r="D263" s="17">
        <v>11500132660</v>
      </c>
      <c r="E263" s="10">
        <v>42697</v>
      </c>
      <c r="F263" s="32">
        <v>1500</v>
      </c>
      <c r="G263" s="10">
        <v>42697</v>
      </c>
      <c r="H263" s="90">
        <f t="shared" si="15"/>
        <v>0</v>
      </c>
      <c r="I263" s="90">
        <f t="shared" si="16"/>
        <v>1500</v>
      </c>
      <c r="J263" s="118" t="str">
        <f t="shared" si="17"/>
        <v>ATRASADO</v>
      </c>
    </row>
    <row r="264" spans="2:10" ht="24.75">
      <c r="B264" s="13" t="s">
        <v>103</v>
      </c>
      <c r="C264" s="19" t="s">
        <v>104</v>
      </c>
      <c r="D264" s="17">
        <v>11500132758</v>
      </c>
      <c r="E264" s="10">
        <v>42702</v>
      </c>
      <c r="F264" s="32">
        <v>339</v>
      </c>
      <c r="G264" s="10">
        <v>42702</v>
      </c>
      <c r="H264" s="90">
        <f t="shared" si="15"/>
        <v>0</v>
      </c>
      <c r="I264" s="90">
        <f t="shared" si="16"/>
        <v>339</v>
      </c>
      <c r="J264" s="118" t="str">
        <f t="shared" si="17"/>
        <v>ATRASADO</v>
      </c>
    </row>
    <row r="265" spans="2:10" ht="24.75">
      <c r="B265" s="13" t="s">
        <v>103</v>
      </c>
      <c r="C265" s="19" t="s">
        <v>104</v>
      </c>
      <c r="D265" s="17">
        <v>11500134963</v>
      </c>
      <c r="E265" s="10">
        <v>42753</v>
      </c>
      <c r="F265" s="32">
        <v>720</v>
      </c>
      <c r="G265" s="10">
        <v>42753</v>
      </c>
      <c r="H265" s="90">
        <f t="shared" si="15"/>
        <v>0</v>
      </c>
      <c r="I265" s="90">
        <f t="shared" si="16"/>
        <v>720</v>
      </c>
      <c r="J265" s="118" t="str">
        <f t="shared" si="17"/>
        <v>ATRASADO</v>
      </c>
    </row>
    <row r="266" spans="2:10" ht="24.75">
      <c r="B266" s="13" t="s">
        <v>103</v>
      </c>
      <c r="C266" s="19" t="s">
        <v>104</v>
      </c>
      <c r="D266" s="17">
        <v>11500135101</v>
      </c>
      <c r="E266" s="10">
        <v>42755</v>
      </c>
      <c r="F266" s="32">
        <v>12840</v>
      </c>
      <c r="G266" s="10">
        <v>42755</v>
      </c>
      <c r="H266" s="90">
        <f t="shared" si="15"/>
        <v>0</v>
      </c>
      <c r="I266" s="90">
        <f t="shared" si="16"/>
        <v>12840</v>
      </c>
      <c r="J266" s="118" t="str">
        <f t="shared" si="17"/>
        <v>ATRASADO</v>
      </c>
    </row>
    <row r="267" spans="2:10" ht="24.75">
      <c r="B267" s="13" t="s">
        <v>103</v>
      </c>
      <c r="C267" s="19" t="s">
        <v>104</v>
      </c>
      <c r="D267" s="17">
        <v>11500135117</v>
      </c>
      <c r="E267" s="10">
        <v>42755</v>
      </c>
      <c r="F267" s="32">
        <v>288</v>
      </c>
      <c r="G267" s="10">
        <v>42755</v>
      </c>
      <c r="H267" s="90">
        <f t="shared" si="15"/>
        <v>0</v>
      </c>
      <c r="I267" s="90">
        <f t="shared" si="16"/>
        <v>288</v>
      </c>
      <c r="J267" s="118" t="str">
        <f t="shared" si="17"/>
        <v>ATRASADO</v>
      </c>
    </row>
    <row r="268" spans="2:10" ht="24.75">
      <c r="B268" s="13" t="s">
        <v>103</v>
      </c>
      <c r="C268" s="19" t="s">
        <v>104</v>
      </c>
      <c r="D268" s="17">
        <v>11500135158</v>
      </c>
      <c r="E268" s="10">
        <v>42758</v>
      </c>
      <c r="F268" s="32">
        <v>1500</v>
      </c>
      <c r="G268" s="10">
        <v>42758</v>
      </c>
      <c r="H268" s="90">
        <f t="shared" si="15"/>
        <v>0</v>
      </c>
      <c r="I268" s="90">
        <f t="shared" si="16"/>
        <v>1500</v>
      </c>
      <c r="J268" s="118" t="str">
        <f t="shared" si="17"/>
        <v>ATRASADO</v>
      </c>
    </row>
    <row r="269" spans="2:10" ht="24.75">
      <c r="B269" s="13" t="s">
        <v>103</v>
      </c>
      <c r="C269" s="19" t="s">
        <v>104</v>
      </c>
      <c r="D269" s="17">
        <v>11500135263</v>
      </c>
      <c r="E269" s="10">
        <v>42761</v>
      </c>
      <c r="F269" s="32">
        <v>347</v>
      </c>
      <c r="G269" s="10">
        <v>42761</v>
      </c>
      <c r="H269" s="90">
        <f t="shared" si="15"/>
        <v>0</v>
      </c>
      <c r="I269" s="90">
        <f t="shared" si="16"/>
        <v>347</v>
      </c>
      <c r="J269" s="118" t="str">
        <f t="shared" si="17"/>
        <v>ATRASADO</v>
      </c>
    </row>
    <row r="270" spans="2:10" ht="24.75">
      <c r="B270" s="13" t="s">
        <v>103</v>
      </c>
      <c r="C270" s="19" t="s">
        <v>104</v>
      </c>
      <c r="D270" s="17">
        <v>11500136232</v>
      </c>
      <c r="E270" s="10">
        <v>42775</v>
      </c>
      <c r="F270" s="32">
        <v>720</v>
      </c>
      <c r="G270" s="10">
        <v>42775</v>
      </c>
      <c r="H270" s="90">
        <f t="shared" si="15"/>
        <v>0</v>
      </c>
      <c r="I270" s="90">
        <f t="shared" si="16"/>
        <v>720</v>
      </c>
      <c r="J270" s="118" t="str">
        <f t="shared" si="17"/>
        <v>ATRASADO</v>
      </c>
    </row>
    <row r="271" spans="2:10" ht="24.75">
      <c r="B271" s="13" t="s">
        <v>103</v>
      </c>
      <c r="C271" s="19" t="s">
        <v>104</v>
      </c>
      <c r="D271" s="17">
        <v>11500136271</v>
      </c>
      <c r="E271" s="10">
        <v>42775</v>
      </c>
      <c r="F271" s="32">
        <v>1500</v>
      </c>
      <c r="G271" s="10">
        <v>42775</v>
      </c>
      <c r="H271" s="90">
        <f t="shared" si="15"/>
        <v>0</v>
      </c>
      <c r="I271" s="90">
        <f t="shared" si="16"/>
        <v>1500</v>
      </c>
      <c r="J271" s="118" t="str">
        <f t="shared" si="17"/>
        <v>ATRASADO</v>
      </c>
    </row>
    <row r="272" spans="2:10" ht="24.75">
      <c r="B272" s="13" t="s">
        <v>103</v>
      </c>
      <c r="C272" s="19" t="s">
        <v>104</v>
      </c>
      <c r="D272" s="17">
        <v>11500136286</v>
      </c>
      <c r="E272" s="10">
        <v>42775</v>
      </c>
      <c r="F272" s="32">
        <v>351</v>
      </c>
      <c r="G272" s="10">
        <v>42775</v>
      </c>
      <c r="H272" s="90">
        <f t="shared" si="15"/>
        <v>0</v>
      </c>
      <c r="I272" s="90">
        <f t="shared" si="16"/>
        <v>351</v>
      </c>
      <c r="J272" s="118" t="str">
        <f t="shared" si="17"/>
        <v>ATRASADO</v>
      </c>
    </row>
    <row r="273" spans="2:10" ht="24.75">
      <c r="B273" s="13" t="s">
        <v>103</v>
      </c>
      <c r="C273" s="19" t="s">
        <v>104</v>
      </c>
      <c r="D273" s="17">
        <v>11500136456</v>
      </c>
      <c r="E273" s="10">
        <v>42780</v>
      </c>
      <c r="F273" s="32">
        <v>12840</v>
      </c>
      <c r="G273" s="10">
        <v>42780</v>
      </c>
      <c r="H273" s="90">
        <f t="shared" si="15"/>
        <v>0</v>
      </c>
      <c r="I273" s="90">
        <f t="shared" si="16"/>
        <v>12840</v>
      </c>
      <c r="J273" s="118" t="str">
        <f t="shared" si="17"/>
        <v>ATRASADO</v>
      </c>
    </row>
    <row r="274" spans="2:10" ht="24.75">
      <c r="B274" s="13" t="s">
        <v>103</v>
      </c>
      <c r="C274" s="19" t="s">
        <v>104</v>
      </c>
      <c r="D274" s="17">
        <v>11500136459</v>
      </c>
      <c r="E274" s="10">
        <v>42780</v>
      </c>
      <c r="F274" s="32">
        <v>288</v>
      </c>
      <c r="G274" s="10">
        <v>42780</v>
      </c>
      <c r="H274" s="90">
        <f t="shared" si="15"/>
        <v>0</v>
      </c>
      <c r="I274" s="90">
        <f t="shared" si="16"/>
        <v>288</v>
      </c>
      <c r="J274" s="118" t="str">
        <f t="shared" si="17"/>
        <v>ATRASADO</v>
      </c>
    </row>
    <row r="275" spans="2:10" ht="24.75">
      <c r="B275" s="13" t="s">
        <v>103</v>
      </c>
      <c r="C275" s="19" t="s">
        <v>104</v>
      </c>
      <c r="D275" s="17">
        <v>11500137393</v>
      </c>
      <c r="E275" s="10">
        <v>42807</v>
      </c>
      <c r="F275" s="32">
        <v>720</v>
      </c>
      <c r="G275" s="10">
        <v>42807</v>
      </c>
      <c r="H275" s="90">
        <f t="shared" si="15"/>
        <v>0</v>
      </c>
      <c r="I275" s="90">
        <f t="shared" si="16"/>
        <v>720</v>
      </c>
      <c r="J275" s="118" t="str">
        <f t="shared" si="17"/>
        <v>ATRASADO</v>
      </c>
    </row>
    <row r="276" spans="2:10" ht="24.75">
      <c r="B276" s="13" t="s">
        <v>103</v>
      </c>
      <c r="C276" s="19" t="s">
        <v>104</v>
      </c>
      <c r="D276" s="17">
        <v>11500137561</v>
      </c>
      <c r="E276" s="10">
        <v>42808</v>
      </c>
      <c r="F276" s="32">
        <v>12840</v>
      </c>
      <c r="G276" s="10">
        <v>42808</v>
      </c>
      <c r="H276" s="90">
        <f t="shared" si="15"/>
        <v>0</v>
      </c>
      <c r="I276" s="90">
        <f t="shared" si="16"/>
        <v>12840</v>
      </c>
      <c r="J276" s="118" t="str">
        <f t="shared" si="17"/>
        <v>ATRASADO</v>
      </c>
    </row>
    <row r="277" spans="2:10" ht="24.75">
      <c r="B277" s="13" t="s">
        <v>103</v>
      </c>
      <c r="C277" s="19" t="s">
        <v>104</v>
      </c>
      <c r="D277" s="17">
        <v>11500137564</v>
      </c>
      <c r="E277" s="10">
        <v>42808</v>
      </c>
      <c r="F277" s="32">
        <v>288</v>
      </c>
      <c r="G277" s="10">
        <v>42808</v>
      </c>
      <c r="H277" s="90">
        <f t="shared" si="15"/>
        <v>0</v>
      </c>
      <c r="I277" s="90">
        <f t="shared" si="16"/>
        <v>288</v>
      </c>
      <c r="J277" s="118" t="str">
        <f t="shared" si="17"/>
        <v>ATRASADO</v>
      </c>
    </row>
    <row r="278" spans="2:10" ht="24.75">
      <c r="B278" s="13" t="s">
        <v>103</v>
      </c>
      <c r="C278" s="19" t="s">
        <v>104</v>
      </c>
      <c r="D278" s="17">
        <v>11500137601</v>
      </c>
      <c r="E278" s="10">
        <v>42808</v>
      </c>
      <c r="F278" s="32">
        <v>1500</v>
      </c>
      <c r="G278" s="10">
        <v>42808</v>
      </c>
      <c r="H278" s="90">
        <f t="shared" si="15"/>
        <v>0</v>
      </c>
      <c r="I278" s="90">
        <f t="shared" si="16"/>
        <v>1500</v>
      </c>
      <c r="J278" s="118" t="str">
        <f t="shared" si="17"/>
        <v>ATRASADO</v>
      </c>
    </row>
    <row r="279" spans="2:10" ht="24.75">
      <c r="B279" s="13" t="s">
        <v>103</v>
      </c>
      <c r="C279" s="19" t="s">
        <v>104</v>
      </c>
      <c r="D279" s="17">
        <v>11500137672</v>
      </c>
      <c r="E279" s="10">
        <v>42809</v>
      </c>
      <c r="F279" s="32">
        <v>347</v>
      </c>
      <c r="G279" s="10">
        <v>42809</v>
      </c>
      <c r="H279" s="90">
        <f t="shared" si="15"/>
        <v>0</v>
      </c>
      <c r="I279" s="90">
        <f t="shared" si="16"/>
        <v>347</v>
      </c>
      <c r="J279" s="118" t="str">
        <f t="shared" si="17"/>
        <v>ATRASADO</v>
      </c>
    </row>
    <row r="280" spans="2:10" ht="24.75">
      <c r="B280" s="13" t="s">
        <v>103</v>
      </c>
      <c r="C280" s="19" t="s">
        <v>104</v>
      </c>
      <c r="D280" s="17">
        <v>11500139920</v>
      </c>
      <c r="E280" s="10">
        <v>42865</v>
      </c>
      <c r="F280" s="32">
        <v>1500</v>
      </c>
      <c r="G280" s="10">
        <v>42865</v>
      </c>
      <c r="H280" s="90">
        <f t="shared" si="15"/>
        <v>0</v>
      </c>
      <c r="I280" s="90">
        <f t="shared" si="16"/>
        <v>1500</v>
      </c>
      <c r="J280" s="118" t="str">
        <f t="shared" si="17"/>
        <v>ATRASADO</v>
      </c>
    </row>
    <row r="281" spans="2:10" ht="24.75">
      <c r="B281" s="13" t="s">
        <v>103</v>
      </c>
      <c r="C281" s="19" t="s">
        <v>104</v>
      </c>
      <c r="D281" s="17">
        <v>11500139984</v>
      </c>
      <c r="E281" s="10">
        <v>42865</v>
      </c>
      <c r="F281" s="32">
        <v>720</v>
      </c>
      <c r="G281" s="10">
        <v>42865</v>
      </c>
      <c r="H281" s="90">
        <f t="shared" si="15"/>
        <v>0</v>
      </c>
      <c r="I281" s="90">
        <f t="shared" si="16"/>
        <v>720</v>
      </c>
      <c r="J281" s="118" t="str">
        <f t="shared" si="17"/>
        <v>ATRASADO</v>
      </c>
    </row>
    <row r="282" spans="2:10" ht="24.75">
      <c r="B282" s="13" t="s">
        <v>103</v>
      </c>
      <c r="C282" s="19" t="s">
        <v>104</v>
      </c>
      <c r="D282" s="17">
        <v>11500140072</v>
      </c>
      <c r="E282" s="10">
        <v>42867</v>
      </c>
      <c r="F282" s="32">
        <v>12840</v>
      </c>
      <c r="G282" s="10">
        <v>42867</v>
      </c>
      <c r="H282" s="90">
        <f t="shared" si="15"/>
        <v>0</v>
      </c>
      <c r="I282" s="90">
        <f t="shared" si="16"/>
        <v>12840</v>
      </c>
      <c r="J282" s="118" t="str">
        <f t="shared" si="17"/>
        <v>ATRASADO</v>
      </c>
    </row>
    <row r="283" spans="2:10" ht="24.75">
      <c r="B283" s="13" t="s">
        <v>103</v>
      </c>
      <c r="C283" s="19" t="s">
        <v>104</v>
      </c>
      <c r="D283" s="17">
        <v>11500140075</v>
      </c>
      <c r="E283" s="10">
        <v>42867</v>
      </c>
      <c r="F283" s="32">
        <v>288</v>
      </c>
      <c r="G283" s="10">
        <v>42867</v>
      </c>
      <c r="H283" s="90">
        <f t="shared" si="15"/>
        <v>0</v>
      </c>
      <c r="I283" s="90">
        <f t="shared" si="16"/>
        <v>288</v>
      </c>
      <c r="J283" s="118" t="str">
        <f t="shared" si="17"/>
        <v>ATRASADO</v>
      </c>
    </row>
    <row r="284" spans="2:10" ht="24.75">
      <c r="B284" s="13" t="s">
        <v>103</v>
      </c>
      <c r="C284" s="19" t="s">
        <v>104</v>
      </c>
      <c r="D284" s="17">
        <v>11500140168</v>
      </c>
      <c r="E284" s="10">
        <v>42867</v>
      </c>
      <c r="F284" s="32">
        <v>355</v>
      </c>
      <c r="G284" s="10">
        <v>42867</v>
      </c>
      <c r="H284" s="90">
        <f t="shared" si="15"/>
        <v>0</v>
      </c>
      <c r="I284" s="90">
        <f t="shared" si="16"/>
        <v>355</v>
      </c>
      <c r="J284" s="118" t="str">
        <f t="shared" si="17"/>
        <v>ATRASADO</v>
      </c>
    </row>
    <row r="285" spans="2:10" ht="24.75">
      <c r="B285" s="13" t="s">
        <v>103</v>
      </c>
      <c r="C285" s="19" t="s">
        <v>104</v>
      </c>
      <c r="D285" s="17">
        <v>11500141274</v>
      </c>
      <c r="E285" s="10">
        <v>42895</v>
      </c>
      <c r="F285" s="32">
        <v>720</v>
      </c>
      <c r="G285" s="10">
        <v>42895</v>
      </c>
      <c r="H285" s="90">
        <f t="shared" si="15"/>
        <v>0</v>
      </c>
      <c r="I285" s="90">
        <f t="shared" si="16"/>
        <v>720</v>
      </c>
      <c r="J285" s="118" t="str">
        <f t="shared" si="17"/>
        <v>ATRASADO</v>
      </c>
    </row>
    <row r="286" spans="2:10" ht="24.75">
      <c r="B286" s="13" t="s">
        <v>103</v>
      </c>
      <c r="C286" s="19" t="s">
        <v>278</v>
      </c>
      <c r="D286" s="16" t="s">
        <v>277</v>
      </c>
      <c r="E286" s="11">
        <v>40543</v>
      </c>
      <c r="F286" s="32">
        <v>50807.89</v>
      </c>
      <c r="G286" s="11">
        <v>40543</v>
      </c>
      <c r="H286" s="90">
        <f t="shared" si="15"/>
        <v>0</v>
      </c>
      <c r="I286" s="90">
        <f t="shared" si="16"/>
        <v>50807.89</v>
      </c>
      <c r="J286" s="118" t="str">
        <f t="shared" si="17"/>
        <v>ATRASADO</v>
      </c>
    </row>
    <row r="287" spans="2:10" ht="24.75">
      <c r="B287" s="13" t="s">
        <v>103</v>
      </c>
      <c r="C287" s="19" t="s">
        <v>278</v>
      </c>
      <c r="D287" s="16" t="s">
        <v>277</v>
      </c>
      <c r="E287" s="10">
        <v>40967</v>
      </c>
      <c r="F287" s="32">
        <v>28392.510000000002</v>
      </c>
      <c r="G287" s="27">
        <v>40967</v>
      </c>
      <c r="H287" s="90">
        <f t="shared" si="15"/>
        <v>0</v>
      </c>
      <c r="I287" s="90">
        <f t="shared" si="16"/>
        <v>28392.510000000002</v>
      </c>
      <c r="J287" s="118" t="str">
        <f t="shared" si="17"/>
        <v>ATRASADO</v>
      </c>
    </row>
    <row r="288" spans="2:10" ht="24.75">
      <c r="B288" s="13" t="s">
        <v>103</v>
      </c>
      <c r="C288" s="19" t="s">
        <v>278</v>
      </c>
      <c r="D288" s="16" t="s">
        <v>279</v>
      </c>
      <c r="E288" s="10">
        <v>40999</v>
      </c>
      <c r="F288" s="32">
        <v>16497</v>
      </c>
      <c r="G288" s="26">
        <v>40999</v>
      </c>
      <c r="H288" s="90">
        <f t="shared" si="15"/>
        <v>0</v>
      </c>
      <c r="I288" s="90">
        <f t="shared" si="16"/>
        <v>16497</v>
      </c>
      <c r="J288" s="118" t="str">
        <f t="shared" si="17"/>
        <v>ATRASADO</v>
      </c>
    </row>
    <row r="289" spans="2:10" ht="24.75">
      <c r="B289" s="13" t="s">
        <v>103</v>
      </c>
      <c r="C289" s="19" t="s">
        <v>278</v>
      </c>
      <c r="D289" s="16" t="s">
        <v>280</v>
      </c>
      <c r="E289" s="10">
        <v>41029</v>
      </c>
      <c r="F289" s="32">
        <v>14628</v>
      </c>
      <c r="G289" s="26">
        <v>41029</v>
      </c>
      <c r="H289" s="90">
        <f t="shared" si="15"/>
        <v>0</v>
      </c>
      <c r="I289" s="90">
        <f t="shared" si="16"/>
        <v>14628</v>
      </c>
      <c r="J289" s="118" t="str">
        <f t="shared" si="17"/>
        <v>ATRASADO</v>
      </c>
    </row>
    <row r="290" spans="2:10" ht="24.75">
      <c r="B290" s="13" t="s">
        <v>103</v>
      </c>
      <c r="C290" s="19" t="s">
        <v>278</v>
      </c>
      <c r="D290" s="16" t="s">
        <v>281</v>
      </c>
      <c r="E290" s="10">
        <v>41060</v>
      </c>
      <c r="F290" s="32">
        <v>14628</v>
      </c>
      <c r="G290" s="26">
        <v>41060</v>
      </c>
      <c r="H290" s="90">
        <f t="shared" si="15"/>
        <v>0</v>
      </c>
      <c r="I290" s="90">
        <f t="shared" si="16"/>
        <v>14628</v>
      </c>
      <c r="J290" s="118" t="str">
        <f t="shared" si="17"/>
        <v>ATRASADO</v>
      </c>
    </row>
    <row r="291" spans="2:10" ht="24.75">
      <c r="B291" s="13" t="s">
        <v>103</v>
      </c>
      <c r="C291" s="19" t="s">
        <v>278</v>
      </c>
      <c r="D291" s="16">
        <v>1500068495</v>
      </c>
      <c r="E291" s="10">
        <v>41081</v>
      </c>
      <c r="F291" s="32">
        <v>1788</v>
      </c>
      <c r="G291" s="26">
        <v>41081</v>
      </c>
      <c r="H291" s="90">
        <f t="shared" si="15"/>
        <v>0</v>
      </c>
      <c r="I291" s="90">
        <f t="shared" si="16"/>
        <v>1788</v>
      </c>
      <c r="J291" s="118" t="str">
        <f t="shared" si="17"/>
        <v>ATRASADO</v>
      </c>
    </row>
    <row r="292" spans="2:10" ht="24.75">
      <c r="B292" s="13" t="s">
        <v>103</v>
      </c>
      <c r="C292" s="19" t="s">
        <v>278</v>
      </c>
      <c r="D292" s="16">
        <v>1500069649</v>
      </c>
      <c r="E292" s="10">
        <v>41090</v>
      </c>
      <c r="F292" s="32">
        <v>1500</v>
      </c>
      <c r="G292" s="26">
        <v>41090</v>
      </c>
      <c r="H292" s="90">
        <f t="shared" si="15"/>
        <v>0</v>
      </c>
      <c r="I292" s="90">
        <f t="shared" si="16"/>
        <v>1500</v>
      </c>
      <c r="J292" s="118" t="str">
        <f t="shared" si="17"/>
        <v>ATRASADO</v>
      </c>
    </row>
    <row r="293" spans="2:10" ht="24.75">
      <c r="B293" s="13" t="s">
        <v>103</v>
      </c>
      <c r="C293" s="19" t="s">
        <v>278</v>
      </c>
      <c r="D293" s="16" t="s">
        <v>282</v>
      </c>
      <c r="E293" s="10" t="s">
        <v>283</v>
      </c>
      <c r="F293" s="32">
        <v>15057</v>
      </c>
      <c r="G293" s="26">
        <v>41121</v>
      </c>
      <c r="H293" s="90">
        <f t="shared" si="15"/>
        <v>0</v>
      </c>
      <c r="I293" s="90">
        <f t="shared" si="16"/>
        <v>15057</v>
      </c>
      <c r="J293" s="118" t="str">
        <f t="shared" si="17"/>
        <v>ATRASADO</v>
      </c>
    </row>
    <row r="294" spans="2:10" ht="24.75">
      <c r="B294" s="13" t="s">
        <v>103</v>
      </c>
      <c r="C294" s="19" t="s">
        <v>278</v>
      </c>
      <c r="D294" s="16">
        <v>102719411</v>
      </c>
      <c r="E294" s="10">
        <v>41486</v>
      </c>
      <c r="F294" s="32">
        <v>1209</v>
      </c>
      <c r="G294" s="10">
        <v>41486</v>
      </c>
      <c r="H294" s="90">
        <f t="shared" si="15"/>
        <v>0</v>
      </c>
      <c r="I294" s="90">
        <f t="shared" si="16"/>
        <v>1209</v>
      </c>
      <c r="J294" s="118" t="str">
        <f t="shared" si="17"/>
        <v>ATRASADO</v>
      </c>
    </row>
    <row r="295" spans="2:10" ht="24.75">
      <c r="B295" s="13" t="s">
        <v>103</v>
      </c>
      <c r="C295" s="19" t="s">
        <v>278</v>
      </c>
      <c r="D295" s="16">
        <v>1500070544</v>
      </c>
      <c r="E295" s="10">
        <v>41486</v>
      </c>
      <c r="F295" s="32">
        <v>720</v>
      </c>
      <c r="G295" s="10">
        <v>41486</v>
      </c>
      <c r="H295" s="90">
        <f t="shared" si="15"/>
        <v>0</v>
      </c>
      <c r="I295" s="90">
        <f t="shared" si="16"/>
        <v>720</v>
      </c>
      <c r="J295" s="118" t="str">
        <f t="shared" si="17"/>
        <v>ATRASADO</v>
      </c>
    </row>
    <row r="296" spans="2:10" ht="24.75">
      <c r="B296" s="13" t="s">
        <v>103</v>
      </c>
      <c r="C296" s="19" t="s">
        <v>278</v>
      </c>
      <c r="D296" s="16">
        <v>1500070748</v>
      </c>
      <c r="E296" s="10">
        <v>41486</v>
      </c>
      <c r="F296" s="32">
        <v>288</v>
      </c>
      <c r="G296" s="10">
        <v>41486</v>
      </c>
      <c r="H296" s="90">
        <f t="shared" si="15"/>
        <v>0</v>
      </c>
      <c r="I296" s="90">
        <f t="shared" si="16"/>
        <v>288</v>
      </c>
      <c r="J296" s="118" t="str">
        <f t="shared" si="17"/>
        <v>ATRASADO</v>
      </c>
    </row>
    <row r="297" spans="2:10" ht="24.75">
      <c r="B297" s="13" t="s">
        <v>103</v>
      </c>
      <c r="C297" s="19" t="s">
        <v>278</v>
      </c>
      <c r="D297" s="16">
        <v>1500070731</v>
      </c>
      <c r="E297" s="10">
        <v>41486</v>
      </c>
      <c r="F297" s="32">
        <v>12840</v>
      </c>
      <c r="G297" s="10">
        <v>41486</v>
      </c>
      <c r="H297" s="90">
        <f t="shared" si="15"/>
        <v>0</v>
      </c>
      <c r="I297" s="90">
        <f t="shared" si="16"/>
        <v>12840</v>
      </c>
      <c r="J297" s="118" t="str">
        <f t="shared" si="17"/>
        <v>ATRASADO</v>
      </c>
    </row>
    <row r="298" spans="2:10" ht="24.75">
      <c r="B298" s="13" t="s">
        <v>103</v>
      </c>
      <c r="C298" s="19" t="s">
        <v>278</v>
      </c>
      <c r="D298" s="16">
        <v>1500120346</v>
      </c>
      <c r="E298" s="10">
        <v>42398</v>
      </c>
      <c r="F298" s="32">
        <v>386</v>
      </c>
      <c r="G298" s="10">
        <v>42398</v>
      </c>
      <c r="H298" s="90">
        <f t="shared" si="15"/>
        <v>0</v>
      </c>
      <c r="I298" s="90">
        <f t="shared" si="16"/>
        <v>386</v>
      </c>
      <c r="J298" s="118" t="str">
        <f t="shared" si="17"/>
        <v>ATRASADO</v>
      </c>
    </row>
    <row r="299" spans="2:10" ht="24.75">
      <c r="B299" s="13" t="s">
        <v>103</v>
      </c>
      <c r="C299" s="19" t="s">
        <v>278</v>
      </c>
      <c r="D299" s="16">
        <v>1500121593</v>
      </c>
      <c r="E299" s="10">
        <v>42425</v>
      </c>
      <c r="F299" s="32">
        <v>386</v>
      </c>
      <c r="G299" s="10">
        <v>42425</v>
      </c>
      <c r="H299" s="90">
        <f t="shared" si="15"/>
        <v>0</v>
      </c>
      <c r="I299" s="90">
        <f t="shared" si="16"/>
        <v>386</v>
      </c>
      <c r="J299" s="118" t="str">
        <f t="shared" si="17"/>
        <v>ATRASADO</v>
      </c>
    </row>
    <row r="300" spans="2:10" ht="24.75">
      <c r="B300" s="13" t="s">
        <v>103</v>
      </c>
      <c r="C300" s="19" t="s">
        <v>278</v>
      </c>
      <c r="D300" s="16">
        <v>1500122825</v>
      </c>
      <c r="E300" s="10">
        <v>42458</v>
      </c>
      <c r="F300" s="32">
        <v>388</v>
      </c>
      <c r="G300" s="10">
        <v>42458</v>
      </c>
      <c r="H300" s="90">
        <f t="shared" si="15"/>
        <v>0</v>
      </c>
      <c r="I300" s="90">
        <f t="shared" si="16"/>
        <v>388</v>
      </c>
      <c r="J300" s="118" t="str">
        <f t="shared" si="17"/>
        <v>ATRASADO</v>
      </c>
    </row>
    <row r="301" spans="2:10" ht="24.75">
      <c r="B301" s="13" t="s">
        <v>103</v>
      </c>
      <c r="C301" s="19" t="s">
        <v>278</v>
      </c>
      <c r="D301" s="16">
        <v>1500124072</v>
      </c>
      <c r="E301" s="10">
        <v>42487</v>
      </c>
      <c r="F301" s="32">
        <v>392</v>
      </c>
      <c r="G301" s="10">
        <v>42487</v>
      </c>
      <c r="H301" s="90">
        <f t="shared" si="15"/>
        <v>0</v>
      </c>
      <c r="I301" s="90">
        <f t="shared" si="16"/>
        <v>392</v>
      </c>
      <c r="J301" s="118" t="str">
        <f t="shared" si="17"/>
        <v>ATRASADO</v>
      </c>
    </row>
    <row r="302" spans="2:10" ht="24.75">
      <c r="B302" s="13" t="s">
        <v>103</v>
      </c>
      <c r="C302" s="19" t="s">
        <v>278</v>
      </c>
      <c r="D302" s="16">
        <v>1500126555</v>
      </c>
      <c r="E302" s="10">
        <v>42549</v>
      </c>
      <c r="F302" s="32">
        <v>396</v>
      </c>
      <c r="G302" s="10">
        <v>42549</v>
      </c>
      <c r="H302" s="90">
        <f t="shared" si="15"/>
        <v>0</v>
      </c>
      <c r="I302" s="90">
        <f t="shared" si="16"/>
        <v>396</v>
      </c>
      <c r="J302" s="118" t="str">
        <f t="shared" si="17"/>
        <v>ATRASADO</v>
      </c>
    </row>
    <row r="303" spans="2:10" ht="24.75">
      <c r="B303" s="13" t="s">
        <v>103</v>
      </c>
      <c r="C303" s="19" t="s">
        <v>278</v>
      </c>
      <c r="D303" s="16">
        <v>1500127799</v>
      </c>
      <c r="E303" s="10">
        <v>42578</v>
      </c>
      <c r="F303" s="32">
        <v>398</v>
      </c>
      <c r="G303" s="10">
        <v>42578</v>
      </c>
      <c r="H303" s="90">
        <f t="shared" si="15"/>
        <v>0</v>
      </c>
      <c r="I303" s="90">
        <f t="shared" si="16"/>
        <v>398</v>
      </c>
      <c r="J303" s="118" t="str">
        <f t="shared" si="17"/>
        <v>ATRASADO</v>
      </c>
    </row>
    <row r="304" spans="2:10" ht="24.75">
      <c r="B304" s="13" t="s">
        <v>103</v>
      </c>
      <c r="C304" s="19" t="s">
        <v>278</v>
      </c>
      <c r="D304" s="16">
        <v>1500129045</v>
      </c>
      <c r="E304" s="10">
        <v>42611</v>
      </c>
      <c r="F304" s="32">
        <v>398</v>
      </c>
      <c r="G304" s="10">
        <v>42611</v>
      </c>
      <c r="H304" s="90">
        <f t="shared" si="15"/>
        <v>0</v>
      </c>
      <c r="I304" s="90">
        <f t="shared" si="16"/>
        <v>398</v>
      </c>
      <c r="J304" s="118" t="str">
        <f t="shared" si="17"/>
        <v>ATRASADO</v>
      </c>
    </row>
    <row r="305" spans="2:10" ht="24.75">
      <c r="B305" s="13" t="s">
        <v>103</v>
      </c>
      <c r="C305" s="19" t="s">
        <v>278</v>
      </c>
      <c r="D305" s="16">
        <v>1500130289</v>
      </c>
      <c r="E305" s="10">
        <v>42641</v>
      </c>
      <c r="F305" s="32">
        <v>402</v>
      </c>
      <c r="G305" s="10">
        <v>42641</v>
      </c>
      <c r="H305" s="90">
        <f t="shared" ref="H305:H368" si="18">IF(F305&gt;0,0,"")</f>
        <v>0</v>
      </c>
      <c r="I305" s="90">
        <f t="shared" ref="I305:I368" si="19">IF(H305=0,F305,"")</f>
        <v>402</v>
      </c>
      <c r="J305" s="118" t="str">
        <f t="shared" ref="J305:J368" si="20">IF(I305&gt;0,"ATRASADO","")</f>
        <v>ATRASADO</v>
      </c>
    </row>
    <row r="306" spans="2:10" ht="24.75">
      <c r="B306" s="13" t="s">
        <v>103</v>
      </c>
      <c r="C306" s="19" t="s">
        <v>278</v>
      </c>
      <c r="D306" s="16">
        <v>1500131513</v>
      </c>
      <c r="E306" s="10">
        <v>42670</v>
      </c>
      <c r="F306" s="32">
        <v>402</v>
      </c>
      <c r="G306" s="10">
        <v>42670</v>
      </c>
      <c r="H306" s="90">
        <f t="shared" si="18"/>
        <v>0</v>
      </c>
      <c r="I306" s="90">
        <f t="shared" si="19"/>
        <v>402</v>
      </c>
      <c r="J306" s="118" t="str">
        <f t="shared" si="20"/>
        <v>ATRASADO</v>
      </c>
    </row>
    <row r="307" spans="2:10" ht="24.75">
      <c r="B307" s="13" t="s">
        <v>103</v>
      </c>
      <c r="C307" s="19" t="s">
        <v>278</v>
      </c>
      <c r="D307" s="16">
        <v>1500134024</v>
      </c>
      <c r="E307" s="10">
        <v>42732</v>
      </c>
      <c r="F307" s="32">
        <v>402</v>
      </c>
      <c r="G307" s="10">
        <v>42732</v>
      </c>
      <c r="H307" s="90">
        <f t="shared" si="18"/>
        <v>0</v>
      </c>
      <c r="I307" s="90">
        <f t="shared" si="19"/>
        <v>402</v>
      </c>
      <c r="J307" s="118" t="str">
        <f t="shared" si="20"/>
        <v>ATRASADO</v>
      </c>
    </row>
    <row r="308" spans="2:10" ht="24.75">
      <c r="B308" s="13" t="s">
        <v>103</v>
      </c>
      <c r="C308" s="19" t="s">
        <v>278</v>
      </c>
      <c r="D308" s="16">
        <v>1500135280</v>
      </c>
      <c r="E308" s="10">
        <v>42761</v>
      </c>
      <c r="F308" s="32">
        <v>402</v>
      </c>
      <c r="G308" s="10">
        <v>42761</v>
      </c>
      <c r="H308" s="90">
        <f t="shared" si="18"/>
        <v>0</v>
      </c>
      <c r="I308" s="90">
        <f t="shared" si="19"/>
        <v>402</v>
      </c>
      <c r="J308" s="118" t="str">
        <f t="shared" si="20"/>
        <v>ATRASADO</v>
      </c>
    </row>
    <row r="309" spans="2:10" ht="24.75">
      <c r="B309" s="13" t="s">
        <v>103</v>
      </c>
      <c r="C309" s="19" t="s">
        <v>278</v>
      </c>
      <c r="D309" s="16">
        <v>1500135955</v>
      </c>
      <c r="E309" s="10">
        <v>42774</v>
      </c>
      <c r="F309" s="32">
        <v>404</v>
      </c>
      <c r="G309" s="10">
        <v>42774</v>
      </c>
      <c r="H309" s="90">
        <f t="shared" si="18"/>
        <v>0</v>
      </c>
      <c r="I309" s="90">
        <f t="shared" si="19"/>
        <v>404</v>
      </c>
      <c r="J309" s="118" t="str">
        <f t="shared" si="20"/>
        <v>ATRASADO</v>
      </c>
    </row>
    <row r="310" spans="2:10" ht="24.75">
      <c r="B310" s="13" t="s">
        <v>103</v>
      </c>
      <c r="C310" s="19" t="s">
        <v>278</v>
      </c>
      <c r="D310" s="16">
        <v>1500137270</v>
      </c>
      <c r="E310" s="10">
        <v>42803</v>
      </c>
      <c r="F310" s="32">
        <v>394</v>
      </c>
      <c r="G310" s="10">
        <v>42803</v>
      </c>
      <c r="H310" s="90">
        <f t="shared" si="18"/>
        <v>0</v>
      </c>
      <c r="I310" s="90">
        <f t="shared" si="19"/>
        <v>394</v>
      </c>
      <c r="J310" s="118" t="str">
        <f t="shared" si="20"/>
        <v>ATRASADO</v>
      </c>
    </row>
    <row r="311" spans="2:10" ht="24.75">
      <c r="B311" s="13" t="s">
        <v>103</v>
      </c>
      <c r="C311" s="19" t="s">
        <v>278</v>
      </c>
      <c r="D311" s="16">
        <v>1500138948</v>
      </c>
      <c r="E311" s="10">
        <v>42837</v>
      </c>
      <c r="F311" s="32">
        <v>398</v>
      </c>
      <c r="G311" s="10">
        <v>42837</v>
      </c>
      <c r="H311" s="90">
        <f t="shared" si="18"/>
        <v>0</v>
      </c>
      <c r="I311" s="90">
        <f t="shared" si="19"/>
        <v>398</v>
      </c>
      <c r="J311" s="118" t="str">
        <f t="shared" si="20"/>
        <v>ATRASADO</v>
      </c>
    </row>
    <row r="312" spans="2:10" ht="24.75">
      <c r="B312" s="13" t="s">
        <v>103</v>
      </c>
      <c r="C312" s="19" t="s">
        <v>278</v>
      </c>
      <c r="D312" s="16">
        <v>1500140011</v>
      </c>
      <c r="E312" s="10">
        <v>42866</v>
      </c>
      <c r="F312" s="32">
        <v>400</v>
      </c>
      <c r="G312" s="10">
        <v>42866</v>
      </c>
      <c r="H312" s="90">
        <f t="shared" si="18"/>
        <v>0</v>
      </c>
      <c r="I312" s="90">
        <f t="shared" si="19"/>
        <v>400</v>
      </c>
      <c r="J312" s="118" t="str">
        <f t="shared" si="20"/>
        <v>ATRASADO</v>
      </c>
    </row>
    <row r="313" spans="2:10" ht="24.75">
      <c r="B313" s="13" t="s">
        <v>103</v>
      </c>
      <c r="C313" s="19" t="s">
        <v>278</v>
      </c>
      <c r="D313" s="16">
        <v>1500142442</v>
      </c>
      <c r="E313" s="10">
        <v>42926</v>
      </c>
      <c r="F313" s="32">
        <v>404</v>
      </c>
      <c r="G313" s="10">
        <v>42926</v>
      </c>
      <c r="H313" s="90">
        <f t="shared" si="18"/>
        <v>0</v>
      </c>
      <c r="I313" s="90">
        <f t="shared" si="19"/>
        <v>404</v>
      </c>
      <c r="J313" s="118" t="str">
        <f t="shared" si="20"/>
        <v>ATRASADO</v>
      </c>
    </row>
    <row r="314" spans="2:10" ht="24.75">
      <c r="B314" s="13" t="s">
        <v>103</v>
      </c>
      <c r="C314" s="19" t="s">
        <v>278</v>
      </c>
      <c r="D314" s="16">
        <v>1500147577</v>
      </c>
      <c r="E314" s="10">
        <v>43048</v>
      </c>
      <c r="F314" s="32">
        <v>404</v>
      </c>
      <c r="G314" s="10">
        <v>43048</v>
      </c>
      <c r="H314" s="90">
        <f t="shared" si="18"/>
        <v>0</v>
      </c>
      <c r="I314" s="90">
        <f t="shared" si="19"/>
        <v>404</v>
      </c>
      <c r="J314" s="118" t="str">
        <f t="shared" si="20"/>
        <v>ATRASADO</v>
      </c>
    </row>
    <row r="315" spans="2:10" ht="24.75">
      <c r="B315" s="13" t="s">
        <v>103</v>
      </c>
      <c r="C315" s="19" t="s">
        <v>278</v>
      </c>
      <c r="D315" s="16">
        <v>1500146339</v>
      </c>
      <c r="E315" s="10">
        <v>43040</v>
      </c>
      <c r="F315" s="32">
        <v>720</v>
      </c>
      <c r="G315" s="10">
        <v>43040</v>
      </c>
      <c r="H315" s="90">
        <f t="shared" si="18"/>
        <v>0</v>
      </c>
      <c r="I315" s="90">
        <f t="shared" si="19"/>
        <v>720</v>
      </c>
      <c r="J315" s="118" t="str">
        <f t="shared" si="20"/>
        <v>ATRASADO</v>
      </c>
    </row>
    <row r="316" spans="2:10" ht="24.75">
      <c r="B316" s="13" t="s">
        <v>103</v>
      </c>
      <c r="C316" s="19" t="s">
        <v>278</v>
      </c>
      <c r="D316" s="16">
        <v>1500146406</v>
      </c>
      <c r="E316" s="10">
        <v>43040</v>
      </c>
      <c r="F316" s="32">
        <v>12840</v>
      </c>
      <c r="G316" s="10">
        <v>43040</v>
      </c>
      <c r="H316" s="90">
        <f t="shared" si="18"/>
        <v>0</v>
      </c>
      <c r="I316" s="90">
        <f t="shared" si="19"/>
        <v>12840</v>
      </c>
      <c r="J316" s="118" t="str">
        <f t="shared" si="20"/>
        <v>ATRASADO</v>
      </c>
    </row>
    <row r="317" spans="2:10" ht="24.75">
      <c r="B317" s="13" t="s">
        <v>103</v>
      </c>
      <c r="C317" s="19" t="s">
        <v>278</v>
      </c>
      <c r="D317" s="16">
        <v>1500146408</v>
      </c>
      <c r="E317" s="10">
        <v>43040</v>
      </c>
      <c r="F317" s="32">
        <v>288</v>
      </c>
      <c r="G317" s="10">
        <v>43040</v>
      </c>
      <c r="H317" s="90">
        <f t="shared" si="18"/>
        <v>0</v>
      </c>
      <c r="I317" s="90">
        <f t="shared" si="19"/>
        <v>288</v>
      </c>
      <c r="J317" s="118" t="str">
        <f t="shared" si="20"/>
        <v>ATRASADO</v>
      </c>
    </row>
    <row r="318" spans="2:10" ht="24.75">
      <c r="B318" s="13" t="s">
        <v>103</v>
      </c>
      <c r="C318" s="19" t="s">
        <v>278</v>
      </c>
      <c r="D318" s="16">
        <v>1500146447</v>
      </c>
      <c r="E318" s="10">
        <v>43040</v>
      </c>
      <c r="F318" s="32">
        <v>1850</v>
      </c>
      <c r="G318" s="10">
        <v>43040</v>
      </c>
      <c r="H318" s="90">
        <f t="shared" si="18"/>
        <v>0</v>
      </c>
      <c r="I318" s="90">
        <f t="shared" si="19"/>
        <v>1850</v>
      </c>
      <c r="J318" s="118" t="str">
        <f t="shared" si="20"/>
        <v>ATRASADO</v>
      </c>
    </row>
    <row r="319" spans="2:10" ht="24.75">
      <c r="B319" s="13" t="s">
        <v>103</v>
      </c>
      <c r="C319" s="19" t="s">
        <v>278</v>
      </c>
      <c r="D319" s="16">
        <v>1500146558</v>
      </c>
      <c r="E319" s="10">
        <v>43040</v>
      </c>
      <c r="F319" s="32">
        <v>367</v>
      </c>
      <c r="G319" s="10">
        <v>43040</v>
      </c>
      <c r="H319" s="90">
        <f t="shared" si="18"/>
        <v>0</v>
      </c>
      <c r="I319" s="90">
        <f t="shared" si="19"/>
        <v>367</v>
      </c>
      <c r="J319" s="118" t="str">
        <f t="shared" si="20"/>
        <v>ATRASADO</v>
      </c>
    </row>
    <row r="320" spans="2:10" ht="24.75">
      <c r="B320" s="13" t="s">
        <v>103</v>
      </c>
      <c r="C320" s="19" t="s">
        <v>278</v>
      </c>
      <c r="D320" s="16">
        <v>15001427723</v>
      </c>
      <c r="E320" s="10">
        <v>43070</v>
      </c>
      <c r="F320" s="32">
        <v>720</v>
      </c>
      <c r="G320" s="10">
        <v>43070</v>
      </c>
      <c r="H320" s="90">
        <f t="shared" si="18"/>
        <v>0</v>
      </c>
      <c r="I320" s="90">
        <f t="shared" si="19"/>
        <v>720</v>
      </c>
      <c r="J320" s="118" t="str">
        <f t="shared" si="20"/>
        <v>ATRASADO</v>
      </c>
    </row>
    <row r="321" spans="2:10" ht="24.75">
      <c r="B321" s="13" t="s">
        <v>103</v>
      </c>
      <c r="C321" s="19" t="s">
        <v>278</v>
      </c>
      <c r="D321" s="16">
        <v>1500147756</v>
      </c>
      <c r="E321" s="10">
        <v>43070</v>
      </c>
      <c r="F321" s="32">
        <v>12840</v>
      </c>
      <c r="G321" s="10">
        <v>43070</v>
      </c>
      <c r="H321" s="90">
        <f t="shared" si="18"/>
        <v>0</v>
      </c>
      <c r="I321" s="90">
        <f t="shared" si="19"/>
        <v>12840</v>
      </c>
      <c r="J321" s="118" t="str">
        <f t="shared" si="20"/>
        <v>ATRASADO</v>
      </c>
    </row>
    <row r="322" spans="2:10" ht="24.75">
      <c r="B322" s="13" t="s">
        <v>103</v>
      </c>
      <c r="C322" s="19" t="s">
        <v>278</v>
      </c>
      <c r="D322" s="16">
        <v>1500147758</v>
      </c>
      <c r="E322" s="10">
        <v>43070</v>
      </c>
      <c r="F322" s="32">
        <v>288</v>
      </c>
      <c r="G322" s="10">
        <v>43070</v>
      </c>
      <c r="H322" s="90">
        <f t="shared" si="18"/>
        <v>0</v>
      </c>
      <c r="I322" s="90">
        <f t="shared" si="19"/>
        <v>288</v>
      </c>
      <c r="J322" s="118" t="str">
        <f t="shared" si="20"/>
        <v>ATRASADO</v>
      </c>
    </row>
    <row r="323" spans="2:10" ht="24.75">
      <c r="B323" s="13" t="s">
        <v>103</v>
      </c>
      <c r="C323" s="19" t="s">
        <v>278</v>
      </c>
      <c r="D323" s="16">
        <v>1500147797</v>
      </c>
      <c r="E323" s="10">
        <v>43070</v>
      </c>
      <c r="F323" s="32">
        <v>1850</v>
      </c>
      <c r="G323" s="10">
        <v>43070</v>
      </c>
      <c r="H323" s="90">
        <f t="shared" si="18"/>
        <v>0</v>
      </c>
      <c r="I323" s="90">
        <f t="shared" si="19"/>
        <v>1850</v>
      </c>
      <c r="J323" s="118" t="str">
        <f t="shared" si="20"/>
        <v>ATRASADO</v>
      </c>
    </row>
    <row r="324" spans="2:10" ht="24.75">
      <c r="B324" s="13" t="s">
        <v>103</v>
      </c>
      <c r="C324" s="19" t="s">
        <v>278</v>
      </c>
      <c r="D324" s="16">
        <v>1500147841</v>
      </c>
      <c r="E324" s="10">
        <v>43070</v>
      </c>
      <c r="F324" s="32">
        <v>371</v>
      </c>
      <c r="G324" s="10">
        <v>43070</v>
      </c>
      <c r="H324" s="90">
        <f t="shared" si="18"/>
        <v>0</v>
      </c>
      <c r="I324" s="90">
        <f t="shared" si="19"/>
        <v>371</v>
      </c>
      <c r="J324" s="118" t="str">
        <f t="shared" si="20"/>
        <v>ATRASADO</v>
      </c>
    </row>
    <row r="325" spans="2:10" ht="24.75">
      <c r="B325" s="13" t="s">
        <v>103</v>
      </c>
      <c r="C325" s="19" t="s">
        <v>278</v>
      </c>
      <c r="D325" s="16">
        <v>1500148821</v>
      </c>
      <c r="E325" s="10">
        <v>43074</v>
      </c>
      <c r="F325" s="32">
        <v>720</v>
      </c>
      <c r="G325" s="10">
        <v>43074</v>
      </c>
      <c r="H325" s="90">
        <f t="shared" si="18"/>
        <v>0</v>
      </c>
      <c r="I325" s="90">
        <f t="shared" si="19"/>
        <v>720</v>
      </c>
      <c r="J325" s="118" t="str">
        <f t="shared" si="20"/>
        <v>ATRASADO</v>
      </c>
    </row>
    <row r="326" spans="2:10" ht="24.75">
      <c r="B326" s="13" t="s">
        <v>103</v>
      </c>
      <c r="C326" s="19" t="s">
        <v>278</v>
      </c>
      <c r="D326" s="16">
        <v>1500148880</v>
      </c>
      <c r="E326" s="10">
        <v>43075</v>
      </c>
      <c r="F326" s="32">
        <v>12840</v>
      </c>
      <c r="G326" s="10">
        <v>43075</v>
      </c>
      <c r="H326" s="90">
        <f t="shared" si="18"/>
        <v>0</v>
      </c>
      <c r="I326" s="90">
        <f t="shared" si="19"/>
        <v>12840</v>
      </c>
      <c r="J326" s="118" t="str">
        <f t="shared" si="20"/>
        <v>ATRASADO</v>
      </c>
    </row>
    <row r="327" spans="2:10" ht="24.75">
      <c r="B327" s="13" t="s">
        <v>103</v>
      </c>
      <c r="C327" s="19" t="s">
        <v>278</v>
      </c>
      <c r="D327" s="16">
        <v>1500148882</v>
      </c>
      <c r="E327" s="10">
        <v>43075</v>
      </c>
      <c r="F327" s="32">
        <v>288</v>
      </c>
      <c r="G327" s="10">
        <v>43075</v>
      </c>
      <c r="H327" s="90">
        <f t="shared" si="18"/>
        <v>0</v>
      </c>
      <c r="I327" s="90">
        <f t="shared" si="19"/>
        <v>288</v>
      </c>
      <c r="J327" s="118" t="str">
        <f t="shared" si="20"/>
        <v>ATRASADO</v>
      </c>
    </row>
    <row r="328" spans="2:10" ht="24.75">
      <c r="B328" s="13" t="s">
        <v>103</v>
      </c>
      <c r="C328" s="19" t="s">
        <v>278</v>
      </c>
      <c r="D328" s="16">
        <v>1500148921</v>
      </c>
      <c r="E328" s="10">
        <v>43075</v>
      </c>
      <c r="F328" s="32">
        <v>1850</v>
      </c>
      <c r="G328" s="10">
        <v>43075</v>
      </c>
      <c r="H328" s="90">
        <f t="shared" si="18"/>
        <v>0</v>
      </c>
      <c r="I328" s="90">
        <f t="shared" si="19"/>
        <v>1850</v>
      </c>
      <c r="J328" s="118" t="str">
        <f t="shared" si="20"/>
        <v>ATRASADO</v>
      </c>
    </row>
    <row r="329" spans="2:10" ht="24.75">
      <c r="B329" s="13" t="s">
        <v>103</v>
      </c>
      <c r="C329" s="19" t="s">
        <v>278</v>
      </c>
      <c r="D329" s="16">
        <v>1500148999</v>
      </c>
      <c r="E329" s="10">
        <v>43080</v>
      </c>
      <c r="F329" s="32">
        <v>371</v>
      </c>
      <c r="G329" s="10">
        <v>43080</v>
      </c>
      <c r="H329" s="90">
        <f t="shared" si="18"/>
        <v>0</v>
      </c>
      <c r="I329" s="90">
        <f t="shared" si="19"/>
        <v>371</v>
      </c>
      <c r="J329" s="118" t="str">
        <f t="shared" si="20"/>
        <v>ATRASADO</v>
      </c>
    </row>
    <row r="330" spans="2:10" ht="24.75">
      <c r="B330" s="13" t="s">
        <v>103</v>
      </c>
      <c r="C330" s="19" t="s">
        <v>278</v>
      </c>
      <c r="D330" s="16">
        <v>1500149019</v>
      </c>
      <c r="E330" s="10">
        <v>43100</v>
      </c>
      <c r="F330" s="32">
        <v>406</v>
      </c>
      <c r="G330" s="10">
        <v>43100</v>
      </c>
      <c r="H330" s="90">
        <f t="shared" si="18"/>
        <v>0</v>
      </c>
      <c r="I330" s="90">
        <f t="shared" si="19"/>
        <v>406</v>
      </c>
      <c r="J330" s="118" t="str">
        <f t="shared" si="20"/>
        <v>ATRASADO</v>
      </c>
    </row>
    <row r="331" spans="2:10" ht="24.75">
      <c r="B331" s="13" t="s">
        <v>103</v>
      </c>
      <c r="C331" s="19" t="s">
        <v>278</v>
      </c>
      <c r="D331" s="16">
        <v>1500150157</v>
      </c>
      <c r="E331" s="10">
        <v>43109</v>
      </c>
      <c r="F331" s="32">
        <v>720</v>
      </c>
      <c r="G331" s="10">
        <v>43109</v>
      </c>
      <c r="H331" s="90">
        <f t="shared" si="18"/>
        <v>0</v>
      </c>
      <c r="I331" s="90">
        <f t="shared" si="19"/>
        <v>720</v>
      </c>
      <c r="J331" s="118" t="str">
        <f t="shared" si="20"/>
        <v>ATRASADO</v>
      </c>
    </row>
    <row r="332" spans="2:10" ht="24.75">
      <c r="B332" s="13" t="s">
        <v>103</v>
      </c>
      <c r="C332" s="19" t="s">
        <v>278</v>
      </c>
      <c r="D332" s="16">
        <v>1500150192</v>
      </c>
      <c r="E332" s="10">
        <v>43109</v>
      </c>
      <c r="F332" s="32">
        <v>288</v>
      </c>
      <c r="G332" s="10">
        <v>43109</v>
      </c>
      <c r="H332" s="90">
        <f t="shared" si="18"/>
        <v>0</v>
      </c>
      <c r="I332" s="90">
        <f t="shared" si="19"/>
        <v>288</v>
      </c>
      <c r="J332" s="118" t="str">
        <f t="shared" si="20"/>
        <v>ATRASADO</v>
      </c>
    </row>
    <row r="333" spans="2:10" ht="24.75">
      <c r="B333" s="13" t="s">
        <v>103</v>
      </c>
      <c r="C333" s="19" t="s">
        <v>278</v>
      </c>
      <c r="D333" s="16">
        <v>1500150190</v>
      </c>
      <c r="E333" s="10">
        <v>43109</v>
      </c>
      <c r="F333" s="32">
        <v>12840</v>
      </c>
      <c r="G333" s="10">
        <v>43109</v>
      </c>
      <c r="H333" s="90">
        <f t="shared" si="18"/>
        <v>0</v>
      </c>
      <c r="I333" s="90">
        <f t="shared" si="19"/>
        <v>12840</v>
      </c>
      <c r="J333" s="118" t="str">
        <f t="shared" si="20"/>
        <v>ATRASADO</v>
      </c>
    </row>
    <row r="334" spans="2:10" ht="24.75">
      <c r="B334" s="13" t="s">
        <v>103</v>
      </c>
      <c r="C334" s="19" t="s">
        <v>278</v>
      </c>
      <c r="D334" s="16">
        <v>1500150243</v>
      </c>
      <c r="E334" s="10">
        <v>43109</v>
      </c>
      <c r="F334" s="32">
        <v>1850</v>
      </c>
      <c r="G334" s="10">
        <v>43109</v>
      </c>
      <c r="H334" s="90">
        <f t="shared" si="18"/>
        <v>0</v>
      </c>
      <c r="I334" s="90">
        <f t="shared" si="19"/>
        <v>1850</v>
      </c>
      <c r="J334" s="118" t="str">
        <f t="shared" si="20"/>
        <v>ATRASADO</v>
      </c>
    </row>
    <row r="335" spans="2:10" ht="24.75">
      <c r="B335" s="13" t="s">
        <v>103</v>
      </c>
      <c r="C335" s="19" t="s">
        <v>278</v>
      </c>
      <c r="D335" s="16">
        <v>1500150287</v>
      </c>
      <c r="E335" s="10">
        <v>43109</v>
      </c>
      <c r="F335" s="32">
        <v>355</v>
      </c>
      <c r="G335" s="10">
        <v>43109</v>
      </c>
      <c r="H335" s="90">
        <f t="shared" si="18"/>
        <v>0</v>
      </c>
      <c r="I335" s="90">
        <f t="shared" si="19"/>
        <v>355</v>
      </c>
      <c r="J335" s="118" t="str">
        <f t="shared" si="20"/>
        <v>ATRASADO</v>
      </c>
    </row>
    <row r="336" spans="2:10" ht="24.75">
      <c r="B336" s="13" t="s">
        <v>103</v>
      </c>
      <c r="C336" s="19" t="s">
        <v>278</v>
      </c>
      <c r="D336" s="17">
        <v>1500151429</v>
      </c>
      <c r="E336" s="10">
        <v>43138</v>
      </c>
      <c r="F336" s="32">
        <v>720</v>
      </c>
      <c r="G336" s="10">
        <v>43138</v>
      </c>
      <c r="H336" s="90">
        <f t="shared" si="18"/>
        <v>0</v>
      </c>
      <c r="I336" s="90">
        <f t="shared" si="19"/>
        <v>720</v>
      </c>
      <c r="J336" s="118" t="str">
        <f t="shared" si="20"/>
        <v>ATRASADO</v>
      </c>
    </row>
    <row r="337" spans="2:10" ht="24.75">
      <c r="B337" s="13" t="s">
        <v>103</v>
      </c>
      <c r="C337" s="19" t="s">
        <v>278</v>
      </c>
      <c r="D337" s="17">
        <v>1500151476</v>
      </c>
      <c r="E337" s="10">
        <v>43138</v>
      </c>
      <c r="F337" s="32">
        <v>1850</v>
      </c>
      <c r="G337" s="10">
        <v>43138</v>
      </c>
      <c r="H337" s="90">
        <f t="shared" si="18"/>
        <v>0</v>
      </c>
      <c r="I337" s="90">
        <f t="shared" si="19"/>
        <v>1850</v>
      </c>
      <c r="J337" s="118" t="str">
        <f t="shared" si="20"/>
        <v>ATRASADO</v>
      </c>
    </row>
    <row r="338" spans="2:10" ht="24.75">
      <c r="B338" s="13" t="s">
        <v>103</v>
      </c>
      <c r="C338" s="19" t="s">
        <v>278</v>
      </c>
      <c r="D338" s="17">
        <v>1500151578</v>
      </c>
      <c r="E338" s="10">
        <v>43140</v>
      </c>
      <c r="F338" s="32">
        <v>347</v>
      </c>
      <c r="G338" s="10">
        <v>43140</v>
      </c>
      <c r="H338" s="90">
        <f t="shared" si="18"/>
        <v>0</v>
      </c>
      <c r="I338" s="90">
        <f t="shared" si="19"/>
        <v>347</v>
      </c>
      <c r="J338" s="118" t="str">
        <f t="shared" si="20"/>
        <v>ATRASADO</v>
      </c>
    </row>
    <row r="339" spans="2:10" ht="24.75">
      <c r="B339" s="13" t="s">
        <v>103</v>
      </c>
      <c r="C339" s="19" t="s">
        <v>278</v>
      </c>
      <c r="D339" s="17">
        <v>1500151645</v>
      </c>
      <c r="E339" s="10">
        <v>43143</v>
      </c>
      <c r="F339" s="32">
        <v>12840</v>
      </c>
      <c r="G339" s="10">
        <v>43143</v>
      </c>
      <c r="H339" s="90">
        <f t="shared" si="18"/>
        <v>0</v>
      </c>
      <c r="I339" s="90">
        <f t="shared" si="19"/>
        <v>12840</v>
      </c>
      <c r="J339" s="118" t="str">
        <f t="shared" si="20"/>
        <v>ATRASADO</v>
      </c>
    </row>
    <row r="340" spans="2:10" ht="24.75">
      <c r="B340" s="13" t="s">
        <v>103</v>
      </c>
      <c r="C340" s="19" t="s">
        <v>278</v>
      </c>
      <c r="D340" s="17">
        <v>1500151647</v>
      </c>
      <c r="E340" s="10">
        <v>43143</v>
      </c>
      <c r="F340" s="32">
        <v>288</v>
      </c>
      <c r="G340" s="10">
        <v>43143</v>
      </c>
      <c r="H340" s="90">
        <f t="shared" si="18"/>
        <v>0</v>
      </c>
      <c r="I340" s="90">
        <f t="shared" si="19"/>
        <v>288</v>
      </c>
      <c r="J340" s="118" t="str">
        <f t="shared" si="20"/>
        <v>ATRASADO</v>
      </c>
    </row>
    <row r="341" spans="2:10" ht="24.75">
      <c r="B341" s="13" t="s">
        <v>103</v>
      </c>
      <c r="C341" s="19" t="s">
        <v>278</v>
      </c>
      <c r="D341" s="17">
        <v>1500152783</v>
      </c>
      <c r="E341" s="10">
        <v>43171</v>
      </c>
      <c r="F341" s="32">
        <v>288</v>
      </c>
      <c r="G341" s="10">
        <v>43171</v>
      </c>
      <c r="H341" s="90">
        <f t="shared" si="18"/>
        <v>0</v>
      </c>
      <c r="I341" s="90">
        <f t="shared" si="19"/>
        <v>288</v>
      </c>
      <c r="J341" s="118" t="str">
        <f t="shared" si="20"/>
        <v>ATRASADO</v>
      </c>
    </row>
    <row r="342" spans="2:10" ht="24.75">
      <c r="B342" s="13" t="s">
        <v>103</v>
      </c>
      <c r="C342" s="19" t="s">
        <v>278</v>
      </c>
      <c r="D342" s="17">
        <v>1500152694</v>
      </c>
      <c r="E342" s="10">
        <v>43167</v>
      </c>
      <c r="F342" s="32">
        <v>720</v>
      </c>
      <c r="G342" s="10">
        <v>43167</v>
      </c>
      <c r="H342" s="90">
        <f t="shared" si="18"/>
        <v>0</v>
      </c>
      <c r="I342" s="90">
        <f t="shared" si="19"/>
        <v>720</v>
      </c>
      <c r="J342" s="118" t="str">
        <f t="shared" si="20"/>
        <v>ATRASADO</v>
      </c>
    </row>
    <row r="343" spans="2:10" ht="24.75">
      <c r="B343" s="13" t="s">
        <v>103</v>
      </c>
      <c r="C343" s="19" t="s">
        <v>278</v>
      </c>
      <c r="D343" s="17">
        <v>1500152825</v>
      </c>
      <c r="E343" s="10">
        <v>43171</v>
      </c>
      <c r="F343" s="32">
        <v>1850</v>
      </c>
      <c r="G343" s="10">
        <v>43171</v>
      </c>
      <c r="H343" s="90">
        <f t="shared" si="18"/>
        <v>0</v>
      </c>
      <c r="I343" s="90">
        <f t="shared" si="19"/>
        <v>1850</v>
      </c>
      <c r="J343" s="118" t="str">
        <f t="shared" si="20"/>
        <v>ATRASADO</v>
      </c>
    </row>
    <row r="344" spans="2:10" ht="24.75">
      <c r="B344" s="13" t="s">
        <v>103</v>
      </c>
      <c r="C344" s="19" t="s">
        <v>278</v>
      </c>
      <c r="D344" s="17">
        <v>1500122780</v>
      </c>
      <c r="E344" s="10">
        <v>43171</v>
      </c>
      <c r="F344" s="32">
        <v>12840</v>
      </c>
      <c r="G344" s="10">
        <v>43171</v>
      </c>
      <c r="H344" s="90">
        <f t="shared" si="18"/>
        <v>0</v>
      </c>
      <c r="I344" s="90">
        <f t="shared" si="19"/>
        <v>12840</v>
      </c>
      <c r="J344" s="118" t="str">
        <f t="shared" si="20"/>
        <v>ATRASADO</v>
      </c>
    </row>
    <row r="345" spans="2:10" ht="24.75">
      <c r="B345" s="13" t="s">
        <v>103</v>
      </c>
      <c r="C345" s="19" t="s">
        <v>278</v>
      </c>
      <c r="D345" s="17">
        <v>1500152889</v>
      </c>
      <c r="E345" s="10">
        <v>43171</v>
      </c>
      <c r="F345" s="32">
        <v>388</v>
      </c>
      <c r="G345" s="10">
        <v>43171</v>
      </c>
      <c r="H345" s="90">
        <f t="shared" si="18"/>
        <v>0</v>
      </c>
      <c r="I345" s="90">
        <f t="shared" si="19"/>
        <v>388</v>
      </c>
      <c r="J345" s="118" t="str">
        <f t="shared" si="20"/>
        <v>ATRASADO</v>
      </c>
    </row>
    <row r="346" spans="2:10" ht="24.75">
      <c r="B346" s="13" t="s">
        <v>103</v>
      </c>
      <c r="C346" s="19" t="s">
        <v>278</v>
      </c>
      <c r="D346" s="17">
        <v>1500153997</v>
      </c>
      <c r="E346" s="10">
        <v>43200</v>
      </c>
      <c r="F346" s="32">
        <v>720</v>
      </c>
      <c r="G346" s="10">
        <v>43200</v>
      </c>
      <c r="H346" s="90">
        <f t="shared" si="18"/>
        <v>0</v>
      </c>
      <c r="I346" s="90">
        <f t="shared" si="19"/>
        <v>720</v>
      </c>
      <c r="J346" s="118" t="str">
        <f t="shared" si="20"/>
        <v>ATRASADO</v>
      </c>
    </row>
    <row r="347" spans="2:10" ht="24.75">
      <c r="B347" s="13" t="s">
        <v>103</v>
      </c>
      <c r="C347" s="19" t="s">
        <v>278</v>
      </c>
      <c r="D347" s="17">
        <v>1500154031</v>
      </c>
      <c r="E347" s="10">
        <v>43200</v>
      </c>
      <c r="F347" s="32">
        <v>12840</v>
      </c>
      <c r="G347" s="10">
        <v>43200</v>
      </c>
      <c r="H347" s="90">
        <f t="shared" si="18"/>
        <v>0</v>
      </c>
      <c r="I347" s="90">
        <f t="shared" si="19"/>
        <v>12840</v>
      </c>
      <c r="J347" s="118" t="str">
        <f t="shared" si="20"/>
        <v>ATRASADO</v>
      </c>
    </row>
    <row r="348" spans="2:10" ht="24.75">
      <c r="B348" s="13" t="s">
        <v>103</v>
      </c>
      <c r="C348" s="19" t="s">
        <v>278</v>
      </c>
      <c r="D348" s="17">
        <v>1500154034</v>
      </c>
      <c r="E348" s="10">
        <v>43200</v>
      </c>
      <c r="F348" s="32">
        <v>288</v>
      </c>
      <c r="G348" s="10">
        <v>43200</v>
      </c>
      <c r="H348" s="90">
        <f t="shared" si="18"/>
        <v>0</v>
      </c>
      <c r="I348" s="90">
        <f t="shared" si="19"/>
        <v>288</v>
      </c>
      <c r="J348" s="118" t="str">
        <f t="shared" si="20"/>
        <v>ATRASADO</v>
      </c>
    </row>
    <row r="349" spans="2:10" ht="24.75">
      <c r="B349" s="13" t="s">
        <v>103</v>
      </c>
      <c r="C349" s="19" t="s">
        <v>278</v>
      </c>
      <c r="D349" s="17">
        <v>1500154075</v>
      </c>
      <c r="E349" s="10">
        <v>43202</v>
      </c>
      <c r="F349" s="32">
        <v>1850</v>
      </c>
      <c r="G349" s="10">
        <v>43202</v>
      </c>
      <c r="H349" s="90">
        <f t="shared" si="18"/>
        <v>0</v>
      </c>
      <c r="I349" s="90">
        <f t="shared" si="19"/>
        <v>1850</v>
      </c>
      <c r="J349" s="118" t="str">
        <f t="shared" si="20"/>
        <v>ATRASADO</v>
      </c>
    </row>
    <row r="350" spans="2:10" ht="24.75">
      <c r="B350" s="13" t="s">
        <v>103</v>
      </c>
      <c r="C350" s="19" t="s">
        <v>278</v>
      </c>
      <c r="D350" s="17">
        <v>1500154166</v>
      </c>
      <c r="E350" s="10">
        <v>43202</v>
      </c>
      <c r="F350" s="32">
        <v>239</v>
      </c>
      <c r="G350" s="10">
        <v>43202</v>
      </c>
      <c r="H350" s="90">
        <f t="shared" si="18"/>
        <v>0</v>
      </c>
      <c r="I350" s="90">
        <f t="shared" si="19"/>
        <v>239</v>
      </c>
      <c r="J350" s="118" t="str">
        <f t="shared" si="20"/>
        <v>ATRASADO</v>
      </c>
    </row>
    <row r="351" spans="2:10" ht="24.75">
      <c r="B351" s="13" t="s">
        <v>103</v>
      </c>
      <c r="C351" s="19" t="s">
        <v>278</v>
      </c>
      <c r="D351" s="17">
        <v>1500154186</v>
      </c>
      <c r="E351" s="10">
        <v>43202</v>
      </c>
      <c r="F351" s="32">
        <v>390</v>
      </c>
      <c r="G351" s="10">
        <v>43202</v>
      </c>
      <c r="H351" s="90">
        <f t="shared" si="18"/>
        <v>0</v>
      </c>
      <c r="I351" s="90">
        <f t="shared" si="19"/>
        <v>390</v>
      </c>
      <c r="J351" s="118" t="str">
        <f t="shared" si="20"/>
        <v>ATRASADO</v>
      </c>
    </row>
    <row r="352" spans="2:10" ht="24.75">
      <c r="B352" s="13" t="s">
        <v>103</v>
      </c>
      <c r="C352" s="19" t="s">
        <v>278</v>
      </c>
      <c r="D352" s="17">
        <v>1500152869</v>
      </c>
      <c r="E352" s="10">
        <v>43171</v>
      </c>
      <c r="F352" s="32">
        <v>235</v>
      </c>
      <c r="G352" s="10">
        <v>43171</v>
      </c>
      <c r="H352" s="90">
        <f t="shared" si="18"/>
        <v>0</v>
      </c>
      <c r="I352" s="90">
        <f t="shared" si="19"/>
        <v>235</v>
      </c>
      <c r="J352" s="118" t="str">
        <f t="shared" si="20"/>
        <v>ATRASADO</v>
      </c>
    </row>
    <row r="353" spans="2:10" ht="24.75">
      <c r="B353" s="13" t="s">
        <v>103</v>
      </c>
      <c r="C353" s="19" t="s">
        <v>278</v>
      </c>
      <c r="D353" s="17" t="s">
        <v>605</v>
      </c>
      <c r="E353" s="10">
        <v>43298</v>
      </c>
      <c r="F353" s="32">
        <v>720</v>
      </c>
      <c r="G353" s="10">
        <v>43298</v>
      </c>
      <c r="H353" s="90">
        <f t="shared" si="18"/>
        <v>0</v>
      </c>
      <c r="I353" s="90">
        <f t="shared" si="19"/>
        <v>720</v>
      </c>
      <c r="J353" s="118" t="str">
        <f t="shared" si="20"/>
        <v>ATRASADO</v>
      </c>
    </row>
    <row r="354" spans="2:10" ht="24.75">
      <c r="B354" s="13" t="s">
        <v>103</v>
      </c>
      <c r="C354" s="19" t="s">
        <v>278</v>
      </c>
      <c r="D354" s="17" t="s">
        <v>606</v>
      </c>
      <c r="E354" s="10">
        <v>43294</v>
      </c>
      <c r="F354" s="32">
        <v>288</v>
      </c>
      <c r="G354" s="10">
        <v>43294</v>
      </c>
      <c r="H354" s="90">
        <f t="shared" si="18"/>
        <v>0</v>
      </c>
      <c r="I354" s="90">
        <f t="shared" si="19"/>
        <v>288</v>
      </c>
      <c r="J354" s="118" t="str">
        <f t="shared" si="20"/>
        <v>ATRASADO</v>
      </c>
    </row>
    <row r="355" spans="2:10" ht="24.75">
      <c r="B355" s="13" t="s">
        <v>103</v>
      </c>
      <c r="C355" s="19" t="s">
        <v>278</v>
      </c>
      <c r="D355" s="17" t="s">
        <v>607</v>
      </c>
      <c r="E355" s="10">
        <v>43294</v>
      </c>
      <c r="F355" s="32">
        <v>12840</v>
      </c>
      <c r="G355" s="10">
        <v>43294</v>
      </c>
      <c r="H355" s="90">
        <f t="shared" si="18"/>
        <v>0</v>
      </c>
      <c r="I355" s="90">
        <f t="shared" si="19"/>
        <v>12840</v>
      </c>
      <c r="J355" s="118" t="str">
        <f t="shared" si="20"/>
        <v>ATRASADO</v>
      </c>
    </row>
    <row r="356" spans="2:10" ht="24.75">
      <c r="B356" s="13" t="s">
        <v>103</v>
      </c>
      <c r="C356" s="19" t="s">
        <v>278</v>
      </c>
      <c r="D356" s="17" t="s">
        <v>608</v>
      </c>
      <c r="E356" s="10">
        <v>43294</v>
      </c>
      <c r="F356" s="32">
        <v>120</v>
      </c>
      <c r="G356" s="10">
        <v>43294</v>
      </c>
      <c r="H356" s="90">
        <f t="shared" si="18"/>
        <v>0</v>
      </c>
      <c r="I356" s="90">
        <f t="shared" si="19"/>
        <v>120</v>
      </c>
      <c r="J356" s="118" t="str">
        <f t="shared" si="20"/>
        <v>ATRASADO</v>
      </c>
    </row>
    <row r="357" spans="2:10" ht="24.75">
      <c r="B357" s="13" t="s">
        <v>103</v>
      </c>
      <c r="C357" s="19" t="s">
        <v>278</v>
      </c>
      <c r="D357" s="17" t="s">
        <v>609</v>
      </c>
      <c r="E357" s="10">
        <v>43298</v>
      </c>
      <c r="F357" s="32">
        <v>1850</v>
      </c>
      <c r="G357" s="10">
        <v>43298</v>
      </c>
      <c r="H357" s="90">
        <f t="shared" si="18"/>
        <v>0</v>
      </c>
      <c r="I357" s="90">
        <f t="shared" si="19"/>
        <v>1850</v>
      </c>
      <c r="J357" s="118" t="str">
        <f t="shared" si="20"/>
        <v>ATRASADO</v>
      </c>
    </row>
    <row r="358" spans="2:10" ht="24.75">
      <c r="B358" s="13" t="s">
        <v>103</v>
      </c>
      <c r="C358" s="19" t="s">
        <v>278</v>
      </c>
      <c r="D358" s="17" t="s">
        <v>610</v>
      </c>
      <c r="E358" s="10">
        <v>43299</v>
      </c>
      <c r="F358" s="32">
        <v>187</v>
      </c>
      <c r="G358" s="10">
        <v>43299</v>
      </c>
      <c r="H358" s="90">
        <f t="shared" si="18"/>
        <v>0</v>
      </c>
      <c r="I358" s="90">
        <f t="shared" si="19"/>
        <v>187</v>
      </c>
      <c r="J358" s="118" t="str">
        <f t="shared" si="20"/>
        <v>ATRASADO</v>
      </c>
    </row>
    <row r="359" spans="2:10" ht="24.75">
      <c r="B359" s="13" t="s">
        <v>103</v>
      </c>
      <c r="C359" s="19" t="s">
        <v>278</v>
      </c>
      <c r="D359" s="17" t="s">
        <v>613</v>
      </c>
      <c r="E359" s="10">
        <v>43326</v>
      </c>
      <c r="F359" s="32">
        <v>187</v>
      </c>
      <c r="G359" s="10">
        <v>43326</v>
      </c>
      <c r="H359" s="90">
        <f t="shared" si="18"/>
        <v>0</v>
      </c>
      <c r="I359" s="90">
        <f t="shared" si="19"/>
        <v>187</v>
      </c>
      <c r="J359" s="118" t="str">
        <f t="shared" si="20"/>
        <v>ATRASADO</v>
      </c>
    </row>
    <row r="360" spans="2:10" ht="24.75">
      <c r="B360" s="13" t="s">
        <v>103</v>
      </c>
      <c r="C360" s="19" t="s">
        <v>278</v>
      </c>
      <c r="D360" s="17" t="s">
        <v>614</v>
      </c>
      <c r="E360" s="10">
        <v>43322</v>
      </c>
      <c r="F360" s="32">
        <v>120</v>
      </c>
      <c r="G360" s="10">
        <v>43322</v>
      </c>
      <c r="H360" s="90">
        <f t="shared" si="18"/>
        <v>0</v>
      </c>
      <c r="I360" s="90">
        <f t="shared" si="19"/>
        <v>120</v>
      </c>
      <c r="J360" s="118" t="str">
        <f t="shared" si="20"/>
        <v>ATRASADO</v>
      </c>
    </row>
    <row r="361" spans="2:10" ht="24.75">
      <c r="B361" s="13" t="s">
        <v>103</v>
      </c>
      <c r="C361" s="19" t="s">
        <v>278</v>
      </c>
      <c r="D361" s="17" t="s">
        <v>612</v>
      </c>
      <c r="E361" s="10">
        <v>43326</v>
      </c>
      <c r="F361" s="32">
        <v>12840</v>
      </c>
      <c r="G361" s="10">
        <v>43326</v>
      </c>
      <c r="H361" s="90">
        <f t="shared" si="18"/>
        <v>0</v>
      </c>
      <c r="I361" s="90">
        <f t="shared" si="19"/>
        <v>12840</v>
      </c>
      <c r="J361" s="118" t="str">
        <f t="shared" si="20"/>
        <v>ATRASADO</v>
      </c>
    </row>
    <row r="362" spans="2:10" ht="24.75">
      <c r="B362" s="13" t="s">
        <v>103</v>
      </c>
      <c r="C362" s="19" t="s">
        <v>278</v>
      </c>
      <c r="D362" s="17" t="s">
        <v>615</v>
      </c>
      <c r="E362" s="10">
        <v>43326</v>
      </c>
      <c r="F362" s="32">
        <v>1850</v>
      </c>
      <c r="G362" s="10">
        <v>43326</v>
      </c>
      <c r="H362" s="90">
        <f t="shared" si="18"/>
        <v>0</v>
      </c>
      <c r="I362" s="90">
        <f t="shared" si="19"/>
        <v>1850</v>
      </c>
      <c r="J362" s="118" t="str">
        <f t="shared" si="20"/>
        <v>ATRASADO</v>
      </c>
    </row>
    <row r="363" spans="2:10" ht="24.75">
      <c r="B363" s="13" t="s">
        <v>103</v>
      </c>
      <c r="C363" s="19" t="s">
        <v>278</v>
      </c>
      <c r="D363" s="17" t="s">
        <v>611</v>
      </c>
      <c r="E363" s="10">
        <v>43322</v>
      </c>
      <c r="F363" s="32">
        <v>720</v>
      </c>
      <c r="G363" s="10">
        <v>43322</v>
      </c>
      <c r="H363" s="90">
        <f t="shared" si="18"/>
        <v>0</v>
      </c>
      <c r="I363" s="90">
        <f t="shared" si="19"/>
        <v>720</v>
      </c>
      <c r="J363" s="118" t="str">
        <f t="shared" si="20"/>
        <v>ATRASADO</v>
      </c>
    </row>
    <row r="364" spans="2:10" ht="24.75">
      <c r="B364" s="13" t="s">
        <v>103</v>
      </c>
      <c r="C364" s="19" t="s">
        <v>278</v>
      </c>
      <c r="D364" s="17" t="s">
        <v>616</v>
      </c>
      <c r="E364" s="10">
        <v>43326</v>
      </c>
      <c r="F364" s="32">
        <v>288</v>
      </c>
      <c r="G364" s="10">
        <v>43326</v>
      </c>
      <c r="H364" s="90">
        <f t="shared" si="18"/>
        <v>0</v>
      </c>
      <c r="I364" s="90">
        <f t="shared" si="19"/>
        <v>288</v>
      </c>
      <c r="J364" s="118" t="str">
        <f t="shared" si="20"/>
        <v>ATRASADO</v>
      </c>
    </row>
    <row r="365" spans="2:10" ht="24.75">
      <c r="B365" s="13" t="s">
        <v>103</v>
      </c>
      <c r="C365" s="19" t="s">
        <v>278</v>
      </c>
      <c r="D365" s="17" t="s">
        <v>621</v>
      </c>
      <c r="E365" s="10">
        <v>43354</v>
      </c>
      <c r="F365" s="32">
        <v>720</v>
      </c>
      <c r="G365" s="10">
        <v>43354</v>
      </c>
      <c r="H365" s="90">
        <f t="shared" si="18"/>
        <v>0</v>
      </c>
      <c r="I365" s="90">
        <f t="shared" si="19"/>
        <v>720</v>
      </c>
      <c r="J365" s="118" t="str">
        <f t="shared" si="20"/>
        <v>ATRASADO</v>
      </c>
    </row>
    <row r="366" spans="2:10" ht="24.75">
      <c r="B366" s="13" t="s">
        <v>103</v>
      </c>
      <c r="C366" s="19" t="s">
        <v>278</v>
      </c>
      <c r="D366" s="17" t="s">
        <v>622</v>
      </c>
      <c r="E366" s="10">
        <v>43356</v>
      </c>
      <c r="F366" s="32">
        <v>120</v>
      </c>
      <c r="G366" s="10">
        <v>43356</v>
      </c>
      <c r="H366" s="90">
        <f t="shared" si="18"/>
        <v>0</v>
      </c>
      <c r="I366" s="90">
        <f t="shared" si="19"/>
        <v>120</v>
      </c>
      <c r="J366" s="118" t="str">
        <f t="shared" si="20"/>
        <v>ATRASADO</v>
      </c>
    </row>
    <row r="367" spans="2:10" ht="24.75">
      <c r="B367" s="13" t="s">
        <v>103</v>
      </c>
      <c r="C367" s="19" t="s">
        <v>278</v>
      </c>
      <c r="D367" s="17" t="s">
        <v>623</v>
      </c>
      <c r="E367" s="10">
        <v>43356</v>
      </c>
      <c r="F367" s="32">
        <v>1850</v>
      </c>
      <c r="G367" s="10">
        <v>43356</v>
      </c>
      <c r="H367" s="90">
        <f t="shared" si="18"/>
        <v>0</v>
      </c>
      <c r="I367" s="90">
        <f t="shared" si="19"/>
        <v>1850</v>
      </c>
      <c r="J367" s="118" t="str">
        <f t="shared" si="20"/>
        <v>ATRASADO</v>
      </c>
    </row>
    <row r="368" spans="2:10" ht="24.75">
      <c r="B368" s="13" t="s">
        <v>103</v>
      </c>
      <c r="C368" s="19" t="s">
        <v>278</v>
      </c>
      <c r="D368" s="17" t="s">
        <v>624</v>
      </c>
      <c r="E368" s="10">
        <v>43356</v>
      </c>
      <c r="F368" s="32">
        <v>187</v>
      </c>
      <c r="G368" s="10">
        <v>43356</v>
      </c>
      <c r="H368" s="90">
        <f t="shared" si="18"/>
        <v>0</v>
      </c>
      <c r="I368" s="90">
        <f t="shared" si="19"/>
        <v>187</v>
      </c>
      <c r="J368" s="118" t="str">
        <f t="shared" si="20"/>
        <v>ATRASADO</v>
      </c>
    </row>
    <row r="369" spans="2:10" ht="24.75">
      <c r="B369" s="13" t="s">
        <v>103</v>
      </c>
      <c r="C369" s="19" t="s">
        <v>278</v>
      </c>
      <c r="D369" s="17" t="s">
        <v>628</v>
      </c>
      <c r="E369" s="10">
        <v>43388</v>
      </c>
      <c r="F369" s="32">
        <v>187</v>
      </c>
      <c r="G369" s="10">
        <v>43388</v>
      </c>
      <c r="H369" s="90">
        <f t="shared" ref="H369:H408" si="21">IF(F369&gt;0,0,"")</f>
        <v>0</v>
      </c>
      <c r="I369" s="90">
        <f t="shared" ref="I369:I408" si="22">IF(H369=0,F369,"")</f>
        <v>187</v>
      </c>
      <c r="J369" s="118" t="str">
        <f t="shared" ref="J369:J408" si="23">IF(I369&gt;0,"ATRASADO","")</f>
        <v>ATRASADO</v>
      </c>
    </row>
    <row r="370" spans="2:10" ht="24.75">
      <c r="B370" s="13" t="s">
        <v>103</v>
      </c>
      <c r="C370" s="19" t="s">
        <v>278</v>
      </c>
      <c r="D370" s="17" t="s">
        <v>629</v>
      </c>
      <c r="E370" s="10">
        <v>43388</v>
      </c>
      <c r="F370" s="32">
        <v>120</v>
      </c>
      <c r="G370" s="10">
        <v>43388</v>
      </c>
      <c r="H370" s="90">
        <f t="shared" si="21"/>
        <v>0</v>
      </c>
      <c r="I370" s="90">
        <f t="shared" si="22"/>
        <v>120</v>
      </c>
      <c r="J370" s="118" t="str">
        <f t="shared" si="23"/>
        <v>ATRASADO</v>
      </c>
    </row>
    <row r="371" spans="2:10" ht="24.75">
      <c r="B371" s="13" t="s">
        <v>103</v>
      </c>
      <c r="C371" s="19" t="s">
        <v>278</v>
      </c>
      <c r="D371" s="17" t="s">
        <v>630</v>
      </c>
      <c r="E371" s="10">
        <v>43389</v>
      </c>
      <c r="F371" s="32">
        <v>1850</v>
      </c>
      <c r="G371" s="10">
        <v>43389</v>
      </c>
      <c r="H371" s="90">
        <f t="shared" si="21"/>
        <v>0</v>
      </c>
      <c r="I371" s="90">
        <f t="shared" si="22"/>
        <v>1850</v>
      </c>
      <c r="J371" s="118" t="str">
        <f t="shared" si="23"/>
        <v>ATRASADO</v>
      </c>
    </row>
    <row r="372" spans="2:10" ht="24.75">
      <c r="B372" s="13" t="s">
        <v>103</v>
      </c>
      <c r="C372" s="19" t="s">
        <v>278</v>
      </c>
      <c r="D372" s="17" t="s">
        <v>631</v>
      </c>
      <c r="E372" s="10">
        <v>43389</v>
      </c>
      <c r="F372" s="32">
        <v>720</v>
      </c>
      <c r="G372" s="10">
        <v>43389</v>
      </c>
      <c r="H372" s="90">
        <f t="shared" si="21"/>
        <v>0</v>
      </c>
      <c r="I372" s="90">
        <f t="shared" si="22"/>
        <v>720</v>
      </c>
      <c r="J372" s="118" t="str">
        <f t="shared" si="23"/>
        <v>ATRASADO</v>
      </c>
    </row>
    <row r="373" spans="2:10" ht="24.75">
      <c r="B373" s="13" t="s">
        <v>103</v>
      </c>
      <c r="C373" s="19" t="s">
        <v>278</v>
      </c>
      <c r="D373" s="17" t="s">
        <v>642</v>
      </c>
      <c r="E373" s="10">
        <v>43419</v>
      </c>
      <c r="F373" s="71">
        <v>720</v>
      </c>
      <c r="G373" s="10">
        <v>43419</v>
      </c>
      <c r="H373" s="90">
        <f t="shared" si="21"/>
        <v>0</v>
      </c>
      <c r="I373" s="90">
        <f t="shared" si="22"/>
        <v>720</v>
      </c>
      <c r="J373" s="118" t="str">
        <f t="shared" si="23"/>
        <v>ATRASADO</v>
      </c>
    </row>
    <row r="374" spans="2:10" ht="24.75">
      <c r="B374" s="13" t="s">
        <v>103</v>
      </c>
      <c r="C374" s="19" t="s">
        <v>278</v>
      </c>
      <c r="D374" s="17" t="s">
        <v>643</v>
      </c>
      <c r="E374" s="10">
        <v>43419</v>
      </c>
      <c r="F374" s="71">
        <v>120</v>
      </c>
      <c r="G374" s="10">
        <v>43419</v>
      </c>
      <c r="H374" s="90">
        <f t="shared" si="21"/>
        <v>0</v>
      </c>
      <c r="I374" s="90">
        <f t="shared" si="22"/>
        <v>120</v>
      </c>
      <c r="J374" s="118" t="str">
        <f t="shared" si="23"/>
        <v>ATRASADO</v>
      </c>
    </row>
    <row r="375" spans="2:10" ht="24.75">
      <c r="B375" s="13" t="s">
        <v>103</v>
      </c>
      <c r="C375" s="19" t="s">
        <v>278</v>
      </c>
      <c r="D375" s="17" t="s">
        <v>644</v>
      </c>
      <c r="E375" s="10">
        <v>43420</v>
      </c>
      <c r="F375" s="71">
        <v>1850</v>
      </c>
      <c r="G375" s="10">
        <v>43420</v>
      </c>
      <c r="H375" s="90">
        <f t="shared" si="21"/>
        <v>0</v>
      </c>
      <c r="I375" s="90">
        <f t="shared" si="22"/>
        <v>1850</v>
      </c>
      <c r="J375" s="118" t="str">
        <f t="shared" si="23"/>
        <v>ATRASADO</v>
      </c>
    </row>
    <row r="376" spans="2:10" ht="24.75">
      <c r="B376" s="13" t="s">
        <v>103</v>
      </c>
      <c r="C376" s="19" t="s">
        <v>278</v>
      </c>
      <c r="D376" s="17" t="s">
        <v>645</v>
      </c>
      <c r="E376" s="10">
        <v>43419</v>
      </c>
      <c r="F376" s="71">
        <v>187</v>
      </c>
      <c r="G376" s="10">
        <v>43419</v>
      </c>
      <c r="H376" s="90">
        <f t="shared" si="21"/>
        <v>0</v>
      </c>
      <c r="I376" s="90">
        <f t="shared" si="22"/>
        <v>187</v>
      </c>
      <c r="J376" s="118" t="str">
        <f t="shared" si="23"/>
        <v>ATRASADO</v>
      </c>
    </row>
    <row r="377" spans="2:10" ht="24.75">
      <c r="B377" s="13" t="s">
        <v>103</v>
      </c>
      <c r="C377" s="19" t="s">
        <v>278</v>
      </c>
      <c r="D377" s="17" t="s">
        <v>656</v>
      </c>
      <c r="E377" s="10">
        <v>43502</v>
      </c>
      <c r="F377" s="71">
        <v>2300</v>
      </c>
      <c r="G377" s="10">
        <v>43502</v>
      </c>
      <c r="H377" s="90">
        <f t="shared" si="21"/>
        <v>0</v>
      </c>
      <c r="I377" s="90">
        <f t="shared" si="22"/>
        <v>2300</v>
      </c>
      <c r="J377" s="118" t="str">
        <f t="shared" si="23"/>
        <v>ATRASADO</v>
      </c>
    </row>
    <row r="378" spans="2:10" ht="24.75">
      <c r="B378" s="13" t="s">
        <v>103</v>
      </c>
      <c r="C378" s="19" t="s">
        <v>278</v>
      </c>
      <c r="D378" s="17" t="s">
        <v>657</v>
      </c>
      <c r="E378" s="10">
        <v>43504</v>
      </c>
      <c r="F378" s="71">
        <v>936</v>
      </c>
      <c r="G378" s="10">
        <v>43504</v>
      </c>
      <c r="H378" s="90">
        <f t="shared" si="21"/>
        <v>0</v>
      </c>
      <c r="I378" s="90">
        <f t="shared" si="22"/>
        <v>936</v>
      </c>
      <c r="J378" s="118" t="str">
        <f t="shared" si="23"/>
        <v>ATRASADO</v>
      </c>
    </row>
    <row r="379" spans="2:10" ht="24.75">
      <c r="B379" s="13" t="s">
        <v>103</v>
      </c>
      <c r="C379" s="19" t="s">
        <v>278</v>
      </c>
      <c r="D379" s="17" t="s">
        <v>658</v>
      </c>
      <c r="E379" s="10">
        <v>43507</v>
      </c>
      <c r="F379" s="71">
        <v>300</v>
      </c>
      <c r="G379" s="10">
        <v>43507</v>
      </c>
      <c r="H379" s="90">
        <f t="shared" si="21"/>
        <v>0</v>
      </c>
      <c r="I379" s="90">
        <f t="shared" si="22"/>
        <v>300</v>
      </c>
      <c r="J379" s="118" t="str">
        <f t="shared" si="23"/>
        <v>ATRASADO</v>
      </c>
    </row>
    <row r="380" spans="2:10" ht="24.75">
      <c r="B380" s="13" t="s">
        <v>103</v>
      </c>
      <c r="C380" s="19" t="s">
        <v>278</v>
      </c>
      <c r="D380" s="17" t="s">
        <v>659</v>
      </c>
      <c r="E380" s="10">
        <v>43508</v>
      </c>
      <c r="F380" s="71">
        <v>302</v>
      </c>
      <c r="G380" s="10">
        <v>43508</v>
      </c>
      <c r="H380" s="90">
        <f t="shared" si="21"/>
        <v>0</v>
      </c>
      <c r="I380" s="90">
        <f t="shared" si="22"/>
        <v>302</v>
      </c>
      <c r="J380" s="118" t="str">
        <f t="shared" si="23"/>
        <v>ATRASADO</v>
      </c>
    </row>
    <row r="381" spans="2:10" ht="24.75">
      <c r="B381" s="13" t="s">
        <v>103</v>
      </c>
      <c r="C381" s="19" t="s">
        <v>278</v>
      </c>
      <c r="D381" s="17" t="s">
        <v>664</v>
      </c>
      <c r="E381" s="10">
        <v>43537</v>
      </c>
      <c r="F381" s="71">
        <v>300</v>
      </c>
      <c r="G381" s="10">
        <v>43537</v>
      </c>
      <c r="H381" s="90">
        <f t="shared" si="21"/>
        <v>0</v>
      </c>
      <c r="I381" s="90">
        <f t="shared" si="22"/>
        <v>300</v>
      </c>
      <c r="J381" s="118" t="str">
        <f t="shared" si="23"/>
        <v>ATRASADO</v>
      </c>
    </row>
    <row r="382" spans="2:10" ht="24.75">
      <c r="B382" s="13" t="s">
        <v>103</v>
      </c>
      <c r="C382" s="19" t="s">
        <v>278</v>
      </c>
      <c r="D382" s="17" t="s">
        <v>665</v>
      </c>
      <c r="E382" s="10">
        <v>43537</v>
      </c>
      <c r="F382" s="71">
        <v>302</v>
      </c>
      <c r="G382" s="10">
        <v>43537</v>
      </c>
      <c r="H382" s="90">
        <f t="shared" si="21"/>
        <v>0</v>
      </c>
      <c r="I382" s="90">
        <f t="shared" si="22"/>
        <v>302</v>
      </c>
      <c r="J382" s="118" t="str">
        <f t="shared" si="23"/>
        <v>ATRASADO</v>
      </c>
    </row>
    <row r="383" spans="2:10" ht="24.75">
      <c r="B383" s="13" t="s">
        <v>103</v>
      </c>
      <c r="C383" s="19" t="s">
        <v>278</v>
      </c>
      <c r="D383" s="17" t="s">
        <v>666</v>
      </c>
      <c r="E383" s="10">
        <v>43537</v>
      </c>
      <c r="F383" s="71">
        <v>936</v>
      </c>
      <c r="G383" s="10">
        <v>43537</v>
      </c>
      <c r="H383" s="90">
        <f t="shared" si="21"/>
        <v>0</v>
      </c>
      <c r="I383" s="90">
        <f t="shared" si="22"/>
        <v>936</v>
      </c>
      <c r="J383" s="118" t="str">
        <f t="shared" si="23"/>
        <v>ATRASADO</v>
      </c>
    </row>
    <row r="384" spans="2:10" ht="24.75">
      <c r="B384" s="13" t="s">
        <v>103</v>
      </c>
      <c r="C384" s="19" t="s">
        <v>278</v>
      </c>
      <c r="D384" s="17" t="s">
        <v>671</v>
      </c>
      <c r="E384" s="10">
        <v>43558</v>
      </c>
      <c r="F384" s="71">
        <v>936</v>
      </c>
      <c r="G384" s="10">
        <v>43558</v>
      </c>
      <c r="H384" s="90">
        <f t="shared" si="21"/>
        <v>0</v>
      </c>
      <c r="I384" s="90">
        <f t="shared" si="22"/>
        <v>936</v>
      </c>
      <c r="J384" s="118" t="str">
        <f t="shared" si="23"/>
        <v>ATRASADO</v>
      </c>
    </row>
    <row r="385" spans="2:10" ht="24.75">
      <c r="B385" s="13" t="s">
        <v>103</v>
      </c>
      <c r="C385" s="19" t="s">
        <v>278</v>
      </c>
      <c r="D385" s="17" t="s">
        <v>672</v>
      </c>
      <c r="E385" s="10">
        <v>43563</v>
      </c>
      <c r="F385" s="71">
        <v>300</v>
      </c>
      <c r="G385" s="10">
        <v>43563</v>
      </c>
      <c r="H385" s="90">
        <f t="shared" si="21"/>
        <v>0</v>
      </c>
      <c r="I385" s="90">
        <f t="shared" si="22"/>
        <v>300</v>
      </c>
      <c r="J385" s="118" t="str">
        <f t="shared" si="23"/>
        <v>ATRASADO</v>
      </c>
    </row>
    <row r="386" spans="2:10" ht="24.75">
      <c r="B386" s="13" t="s">
        <v>103</v>
      </c>
      <c r="C386" s="19" t="s">
        <v>278</v>
      </c>
      <c r="D386" s="17" t="s">
        <v>673</v>
      </c>
      <c r="E386" s="10">
        <v>43563</v>
      </c>
      <c r="F386" s="71">
        <v>302</v>
      </c>
      <c r="G386" s="10">
        <v>43563</v>
      </c>
      <c r="H386" s="90">
        <f t="shared" si="21"/>
        <v>0</v>
      </c>
      <c r="I386" s="90">
        <f t="shared" si="22"/>
        <v>302</v>
      </c>
      <c r="J386" s="118" t="str">
        <f t="shared" si="23"/>
        <v>ATRASADO</v>
      </c>
    </row>
    <row r="387" spans="2:10" ht="24.75">
      <c r="B387" s="13" t="s">
        <v>103</v>
      </c>
      <c r="C387" s="19" t="s">
        <v>278</v>
      </c>
      <c r="D387" s="17" t="s">
        <v>674</v>
      </c>
      <c r="E387" s="10">
        <v>43559</v>
      </c>
      <c r="F387" s="71">
        <v>34675</v>
      </c>
      <c r="G387" s="10">
        <v>43559</v>
      </c>
      <c r="H387" s="90">
        <f t="shared" si="21"/>
        <v>0</v>
      </c>
      <c r="I387" s="90">
        <f t="shared" si="22"/>
        <v>34675</v>
      </c>
      <c r="J387" s="118" t="str">
        <f t="shared" si="23"/>
        <v>ATRASADO</v>
      </c>
    </row>
    <row r="388" spans="2:10" ht="24.75">
      <c r="B388" s="13" t="s">
        <v>103</v>
      </c>
      <c r="C388" s="19" t="s">
        <v>278</v>
      </c>
      <c r="D388" s="17" t="s">
        <v>682</v>
      </c>
      <c r="E388" s="10">
        <v>43593</v>
      </c>
      <c r="F388" s="71">
        <v>302</v>
      </c>
      <c r="G388" s="10">
        <v>43593</v>
      </c>
      <c r="H388" s="90">
        <f t="shared" si="21"/>
        <v>0</v>
      </c>
      <c r="I388" s="90">
        <f t="shared" si="22"/>
        <v>302</v>
      </c>
      <c r="J388" s="118" t="str">
        <f t="shared" si="23"/>
        <v>ATRASADO</v>
      </c>
    </row>
    <row r="389" spans="2:10" ht="24.75">
      <c r="B389" s="13" t="s">
        <v>103</v>
      </c>
      <c r="C389" s="19" t="s">
        <v>278</v>
      </c>
      <c r="D389" s="17" t="s">
        <v>683</v>
      </c>
      <c r="E389" s="10">
        <v>43593</v>
      </c>
      <c r="F389" s="71">
        <v>300</v>
      </c>
      <c r="G389" s="10">
        <v>43593</v>
      </c>
      <c r="H389" s="90">
        <f t="shared" si="21"/>
        <v>0</v>
      </c>
      <c r="I389" s="90">
        <f t="shared" si="22"/>
        <v>300</v>
      </c>
      <c r="J389" s="118" t="str">
        <f t="shared" si="23"/>
        <v>ATRASADO</v>
      </c>
    </row>
    <row r="390" spans="2:10" ht="24.75">
      <c r="B390" s="13" t="s">
        <v>103</v>
      </c>
      <c r="C390" s="19" t="s">
        <v>278</v>
      </c>
      <c r="D390" s="17" t="s">
        <v>684</v>
      </c>
      <c r="E390" s="10">
        <v>43591</v>
      </c>
      <c r="F390" s="71">
        <v>936</v>
      </c>
      <c r="G390" s="10">
        <v>43559</v>
      </c>
      <c r="H390" s="90">
        <f t="shared" si="21"/>
        <v>0</v>
      </c>
      <c r="I390" s="90">
        <f t="shared" si="22"/>
        <v>936</v>
      </c>
      <c r="J390" s="118" t="str">
        <f t="shared" si="23"/>
        <v>ATRASADO</v>
      </c>
    </row>
    <row r="391" spans="2:10" ht="24.75">
      <c r="B391" s="13" t="s">
        <v>103</v>
      </c>
      <c r="C391" s="19" t="s">
        <v>278</v>
      </c>
      <c r="D391" s="17" t="s">
        <v>694</v>
      </c>
      <c r="E391" s="10">
        <v>43626</v>
      </c>
      <c r="F391" s="71">
        <v>302</v>
      </c>
      <c r="G391" s="10">
        <v>43626</v>
      </c>
      <c r="H391" s="90">
        <f t="shared" si="21"/>
        <v>0</v>
      </c>
      <c r="I391" s="90">
        <f t="shared" si="22"/>
        <v>302</v>
      </c>
      <c r="J391" s="118" t="str">
        <f t="shared" si="23"/>
        <v>ATRASADO</v>
      </c>
    </row>
    <row r="392" spans="2:10" ht="24.75">
      <c r="B392" s="13" t="s">
        <v>103</v>
      </c>
      <c r="C392" s="19" t="s">
        <v>278</v>
      </c>
      <c r="D392" s="17" t="s">
        <v>695</v>
      </c>
      <c r="E392" s="10">
        <v>43626</v>
      </c>
      <c r="F392" s="71">
        <v>300</v>
      </c>
      <c r="G392" s="10">
        <v>43626</v>
      </c>
      <c r="H392" s="90">
        <f t="shared" si="21"/>
        <v>0</v>
      </c>
      <c r="I392" s="90">
        <f t="shared" si="22"/>
        <v>300</v>
      </c>
      <c r="J392" s="118" t="str">
        <f t="shared" si="23"/>
        <v>ATRASADO</v>
      </c>
    </row>
    <row r="393" spans="2:10" ht="24.75">
      <c r="B393" s="13" t="s">
        <v>103</v>
      </c>
      <c r="C393" s="19" t="s">
        <v>278</v>
      </c>
      <c r="D393" s="17" t="s">
        <v>696</v>
      </c>
      <c r="E393" s="10">
        <v>43621</v>
      </c>
      <c r="F393" s="71">
        <v>936</v>
      </c>
      <c r="G393" s="10">
        <v>43621</v>
      </c>
      <c r="H393" s="90">
        <f t="shared" si="21"/>
        <v>0</v>
      </c>
      <c r="I393" s="90">
        <f t="shared" si="22"/>
        <v>936</v>
      </c>
      <c r="J393" s="118" t="str">
        <f t="shared" si="23"/>
        <v>ATRASADO</v>
      </c>
    </row>
    <row r="394" spans="2:10" ht="24.75">
      <c r="B394" s="13" t="s">
        <v>103</v>
      </c>
      <c r="C394" s="19" t="s">
        <v>278</v>
      </c>
      <c r="D394" s="17" t="s">
        <v>702</v>
      </c>
      <c r="E394" s="10">
        <v>43650</v>
      </c>
      <c r="F394" s="71">
        <v>936</v>
      </c>
      <c r="G394" s="10">
        <v>43650</v>
      </c>
      <c r="H394" s="90">
        <f t="shared" si="21"/>
        <v>0</v>
      </c>
      <c r="I394" s="90">
        <f t="shared" si="22"/>
        <v>936</v>
      </c>
      <c r="J394" s="118" t="str">
        <f t="shared" si="23"/>
        <v>ATRASADO</v>
      </c>
    </row>
    <row r="395" spans="2:10" ht="24.75">
      <c r="B395" s="13" t="s">
        <v>103</v>
      </c>
      <c r="C395" s="19" t="s">
        <v>278</v>
      </c>
      <c r="D395" s="17" t="s">
        <v>703</v>
      </c>
      <c r="E395" s="10">
        <v>43654</v>
      </c>
      <c r="F395" s="71">
        <v>302</v>
      </c>
      <c r="G395" s="10">
        <v>43654</v>
      </c>
      <c r="H395" s="90">
        <f t="shared" si="21"/>
        <v>0</v>
      </c>
      <c r="I395" s="90">
        <f t="shared" si="22"/>
        <v>302</v>
      </c>
      <c r="J395" s="118" t="str">
        <f t="shared" si="23"/>
        <v>ATRASADO</v>
      </c>
    </row>
    <row r="396" spans="2:10" ht="24.75">
      <c r="B396" s="13" t="s">
        <v>103</v>
      </c>
      <c r="C396" s="19" t="s">
        <v>278</v>
      </c>
      <c r="D396" s="17" t="s">
        <v>704</v>
      </c>
      <c r="E396" s="10">
        <v>43654</v>
      </c>
      <c r="F396" s="71">
        <v>300</v>
      </c>
      <c r="G396" s="10">
        <v>43654</v>
      </c>
      <c r="H396" s="90">
        <f t="shared" si="21"/>
        <v>0</v>
      </c>
      <c r="I396" s="90">
        <f t="shared" si="22"/>
        <v>300</v>
      </c>
      <c r="J396" s="118" t="str">
        <f t="shared" si="23"/>
        <v>ATRASADO</v>
      </c>
    </row>
    <row r="397" spans="2:10" ht="24.75">
      <c r="B397" s="13" t="s">
        <v>103</v>
      </c>
      <c r="C397" s="19" t="s">
        <v>278</v>
      </c>
      <c r="D397" s="17" t="s">
        <v>716</v>
      </c>
      <c r="E397" s="10">
        <v>43713</v>
      </c>
      <c r="F397" s="71">
        <v>936</v>
      </c>
      <c r="G397" s="10">
        <v>43713</v>
      </c>
      <c r="H397" s="90">
        <f t="shared" si="21"/>
        <v>0</v>
      </c>
      <c r="I397" s="90">
        <f t="shared" si="22"/>
        <v>936</v>
      </c>
      <c r="J397" s="118" t="str">
        <f t="shared" si="23"/>
        <v>ATRASADO</v>
      </c>
    </row>
    <row r="398" spans="2:10" ht="24.75">
      <c r="B398" s="13" t="s">
        <v>103</v>
      </c>
      <c r="C398" s="19" t="s">
        <v>278</v>
      </c>
      <c r="D398" s="17" t="s">
        <v>717</v>
      </c>
      <c r="E398" s="10">
        <v>43718</v>
      </c>
      <c r="F398" s="71">
        <v>300</v>
      </c>
      <c r="G398" s="10">
        <v>43718</v>
      </c>
      <c r="H398" s="90">
        <f t="shared" si="21"/>
        <v>0</v>
      </c>
      <c r="I398" s="90">
        <f t="shared" si="22"/>
        <v>300</v>
      </c>
      <c r="J398" s="118" t="str">
        <f t="shared" si="23"/>
        <v>ATRASADO</v>
      </c>
    </row>
    <row r="399" spans="2:10" ht="24.75">
      <c r="B399" s="13" t="s">
        <v>103</v>
      </c>
      <c r="C399" s="19" t="s">
        <v>278</v>
      </c>
      <c r="D399" s="17" t="s">
        <v>718</v>
      </c>
      <c r="E399" s="10">
        <v>43718</v>
      </c>
      <c r="F399" s="71">
        <v>302</v>
      </c>
      <c r="G399" s="10">
        <v>43718</v>
      </c>
      <c r="H399" s="90">
        <f t="shared" si="21"/>
        <v>0</v>
      </c>
      <c r="I399" s="90">
        <f t="shared" si="22"/>
        <v>302</v>
      </c>
      <c r="J399" s="118" t="str">
        <f t="shared" si="23"/>
        <v>ATRASADO</v>
      </c>
    </row>
    <row r="400" spans="2:10" ht="24.75">
      <c r="B400" s="13" t="s">
        <v>103</v>
      </c>
      <c r="C400" s="19" t="s">
        <v>278</v>
      </c>
      <c r="D400" s="17" t="s">
        <v>721</v>
      </c>
      <c r="E400" s="10">
        <v>43742</v>
      </c>
      <c r="F400" s="71">
        <v>936</v>
      </c>
      <c r="G400" s="10">
        <v>43742</v>
      </c>
      <c r="H400" s="90">
        <f t="shared" si="21"/>
        <v>0</v>
      </c>
      <c r="I400" s="90">
        <f t="shared" si="22"/>
        <v>936</v>
      </c>
      <c r="J400" s="118" t="str">
        <f t="shared" si="23"/>
        <v>ATRASADO</v>
      </c>
    </row>
    <row r="401" spans="2:10" ht="24.75">
      <c r="B401" s="13" t="s">
        <v>103</v>
      </c>
      <c r="C401" s="19" t="s">
        <v>278</v>
      </c>
      <c r="D401" s="17" t="s">
        <v>722</v>
      </c>
      <c r="E401" s="10">
        <v>43747</v>
      </c>
      <c r="F401" s="71">
        <v>300</v>
      </c>
      <c r="G401" s="10">
        <v>43747</v>
      </c>
      <c r="H401" s="90">
        <f t="shared" si="21"/>
        <v>0</v>
      </c>
      <c r="I401" s="90">
        <f t="shared" si="22"/>
        <v>300</v>
      </c>
      <c r="J401" s="118" t="str">
        <f t="shared" si="23"/>
        <v>ATRASADO</v>
      </c>
    </row>
    <row r="402" spans="2:10" ht="24.75">
      <c r="B402" s="13" t="s">
        <v>103</v>
      </c>
      <c r="C402" s="19" t="s">
        <v>278</v>
      </c>
      <c r="D402" s="17" t="s">
        <v>723</v>
      </c>
      <c r="E402" s="10">
        <v>43747</v>
      </c>
      <c r="F402" s="71">
        <v>302</v>
      </c>
      <c r="G402" s="10">
        <v>43747</v>
      </c>
      <c r="H402" s="90">
        <f t="shared" si="21"/>
        <v>0</v>
      </c>
      <c r="I402" s="90">
        <f t="shared" si="22"/>
        <v>302</v>
      </c>
      <c r="J402" s="118" t="str">
        <f t="shared" si="23"/>
        <v>ATRASADO</v>
      </c>
    </row>
    <row r="403" spans="2:10" ht="24.75">
      <c r="B403" s="13" t="s">
        <v>103</v>
      </c>
      <c r="C403" s="19" t="s">
        <v>278</v>
      </c>
      <c r="D403" s="17" t="s">
        <v>736</v>
      </c>
      <c r="E403" s="10">
        <v>43780</v>
      </c>
      <c r="F403" s="71">
        <v>300</v>
      </c>
      <c r="G403" s="10">
        <v>43780</v>
      </c>
      <c r="H403" s="90">
        <f t="shared" si="21"/>
        <v>0</v>
      </c>
      <c r="I403" s="90">
        <f t="shared" si="22"/>
        <v>300</v>
      </c>
      <c r="J403" s="118" t="str">
        <f t="shared" si="23"/>
        <v>ATRASADO</v>
      </c>
    </row>
    <row r="404" spans="2:10" ht="24.75">
      <c r="B404" s="13" t="s">
        <v>103</v>
      </c>
      <c r="C404" s="19" t="s">
        <v>278</v>
      </c>
      <c r="D404" s="17" t="s">
        <v>747</v>
      </c>
      <c r="E404" s="10">
        <v>43808</v>
      </c>
      <c r="F404" s="71">
        <v>1236</v>
      </c>
      <c r="G404" s="10">
        <v>43808</v>
      </c>
      <c r="H404" s="90">
        <f t="shared" si="21"/>
        <v>0</v>
      </c>
      <c r="I404" s="90">
        <f t="shared" si="22"/>
        <v>1236</v>
      </c>
      <c r="J404" s="118" t="str">
        <f t="shared" si="23"/>
        <v>ATRASADO</v>
      </c>
    </row>
    <row r="405" spans="2:10" ht="24.75">
      <c r="B405" s="13" t="s">
        <v>103</v>
      </c>
      <c r="C405" s="19" t="s">
        <v>278</v>
      </c>
      <c r="D405" s="17" t="s">
        <v>745</v>
      </c>
      <c r="E405" s="10">
        <v>43840</v>
      </c>
      <c r="F405" s="71">
        <v>300</v>
      </c>
      <c r="G405" s="10">
        <v>43840</v>
      </c>
      <c r="H405" s="90">
        <f t="shared" si="21"/>
        <v>0</v>
      </c>
      <c r="I405" s="90">
        <f t="shared" si="22"/>
        <v>300</v>
      </c>
      <c r="J405" s="118" t="str">
        <f t="shared" si="23"/>
        <v>ATRASADO</v>
      </c>
    </row>
    <row r="406" spans="2:10" ht="24.75">
      <c r="B406" s="13" t="s">
        <v>103</v>
      </c>
      <c r="C406" s="19" t="s">
        <v>278</v>
      </c>
      <c r="D406" s="17" t="s">
        <v>746</v>
      </c>
      <c r="E406" s="10">
        <v>43838</v>
      </c>
      <c r="F406" s="71">
        <v>26548</v>
      </c>
      <c r="G406" s="10">
        <v>43838</v>
      </c>
      <c r="H406" s="90">
        <f t="shared" si="21"/>
        <v>0</v>
      </c>
      <c r="I406" s="90">
        <f t="shared" si="22"/>
        <v>26548</v>
      </c>
      <c r="J406" s="118" t="str">
        <f t="shared" si="23"/>
        <v>ATRASADO</v>
      </c>
    </row>
    <row r="407" spans="2:10" ht="24.75">
      <c r="B407" s="13" t="s">
        <v>103</v>
      </c>
      <c r="C407" s="19" t="s">
        <v>278</v>
      </c>
      <c r="D407" s="17" t="s">
        <v>751</v>
      </c>
      <c r="E407" s="10">
        <v>43868</v>
      </c>
      <c r="F407" s="71">
        <v>26499</v>
      </c>
      <c r="G407" s="10">
        <v>43868</v>
      </c>
      <c r="H407" s="90">
        <f t="shared" si="21"/>
        <v>0</v>
      </c>
      <c r="I407" s="90">
        <f t="shared" si="22"/>
        <v>26499</v>
      </c>
      <c r="J407" s="118" t="str">
        <f t="shared" si="23"/>
        <v>ATRASADO</v>
      </c>
    </row>
    <row r="408" spans="2:10" ht="24.75">
      <c r="B408" s="13" t="s">
        <v>103</v>
      </c>
      <c r="C408" s="19" t="s">
        <v>278</v>
      </c>
      <c r="D408" s="17" t="s">
        <v>752</v>
      </c>
      <c r="E408" s="10">
        <v>43871</v>
      </c>
      <c r="F408" s="71">
        <v>300</v>
      </c>
      <c r="G408" s="10">
        <v>43871</v>
      </c>
      <c r="H408" s="90">
        <f t="shared" si="21"/>
        <v>0</v>
      </c>
      <c r="I408" s="90">
        <f t="shared" si="22"/>
        <v>300</v>
      </c>
      <c r="J408" s="118" t="str">
        <f t="shared" si="23"/>
        <v>ATRASADO</v>
      </c>
    </row>
    <row r="409" spans="2:10">
      <c r="B409" s="13"/>
      <c r="C409" s="19"/>
      <c r="D409" s="17"/>
      <c r="E409" s="10"/>
      <c r="F409" s="71"/>
      <c r="G409" s="10"/>
    </row>
    <row r="410" spans="2:10">
      <c r="B410" s="13" t="s">
        <v>141</v>
      </c>
      <c r="C410" s="19" t="s">
        <v>142</v>
      </c>
      <c r="D410" s="16">
        <v>1500000044</v>
      </c>
      <c r="E410" s="10">
        <v>41733</v>
      </c>
      <c r="F410" s="32">
        <v>48675</v>
      </c>
      <c r="G410" s="10">
        <v>41733</v>
      </c>
      <c r="H410" s="90">
        <f>IF(F410&gt;0,0,"")</f>
        <v>0</v>
      </c>
      <c r="I410" s="90">
        <f>IF(H410=0,F410,"")</f>
        <v>48675</v>
      </c>
      <c r="J410" s="118" t="str">
        <f>IF(I410&gt;0,"ATRASADO","")</f>
        <v>ATRASADO</v>
      </c>
    </row>
    <row r="411" spans="2:10">
      <c r="B411" s="13"/>
      <c r="C411" s="19"/>
      <c r="D411" s="16"/>
      <c r="E411" s="10"/>
      <c r="F411" s="32"/>
      <c r="G411" s="10"/>
    </row>
    <row r="412" spans="2:10">
      <c r="B412" s="13" t="s">
        <v>101</v>
      </c>
      <c r="C412" s="19" t="s">
        <v>102</v>
      </c>
      <c r="D412" s="12">
        <v>1500000041</v>
      </c>
      <c r="E412" s="10">
        <v>41396</v>
      </c>
      <c r="F412" s="32">
        <v>17700</v>
      </c>
      <c r="G412" s="10">
        <v>41396</v>
      </c>
      <c r="H412" s="90">
        <f>IF(F412&gt;0,0,"")</f>
        <v>0</v>
      </c>
      <c r="I412" s="90">
        <f>IF(H412=0,F412,"")</f>
        <v>17700</v>
      </c>
      <c r="J412" s="118" t="str">
        <f>IF(I412&gt;0,"ATRASADO","")</f>
        <v>ATRASADO</v>
      </c>
    </row>
    <row r="413" spans="2:10">
      <c r="B413" s="13"/>
      <c r="C413" s="19"/>
      <c r="D413" s="12"/>
      <c r="E413" s="10"/>
      <c r="F413" s="32"/>
      <c r="G413" s="10"/>
    </row>
    <row r="414" spans="2:10">
      <c r="B414" s="13" t="s">
        <v>1015</v>
      </c>
      <c r="C414" s="19" t="s">
        <v>102</v>
      </c>
      <c r="D414" s="12" t="s">
        <v>979</v>
      </c>
      <c r="E414" s="10">
        <v>44235</v>
      </c>
      <c r="F414" s="32">
        <v>29500</v>
      </c>
      <c r="G414" s="10">
        <v>44235</v>
      </c>
      <c r="H414" s="90">
        <f>IF(F414&gt;0,0,"")</f>
        <v>0</v>
      </c>
      <c r="I414" s="90">
        <f>IF(H414=0,F414,"")</f>
        <v>29500</v>
      </c>
      <c r="J414" s="118" t="str">
        <f>IF(I414&gt;0,"ATRASADO","")</f>
        <v>ATRASADO</v>
      </c>
    </row>
    <row r="415" spans="2:10">
      <c r="B415" s="13"/>
      <c r="C415" s="19"/>
      <c r="D415" s="12"/>
      <c r="E415" s="10"/>
      <c r="F415" s="32"/>
      <c r="G415" s="10"/>
    </row>
    <row r="416" spans="2:10">
      <c r="B416" s="13" t="s">
        <v>9</v>
      </c>
      <c r="C416" s="19" t="s">
        <v>10</v>
      </c>
      <c r="D416" s="12">
        <v>1500000003</v>
      </c>
      <c r="E416" s="11">
        <v>41414</v>
      </c>
      <c r="F416" s="32">
        <v>860000</v>
      </c>
      <c r="G416" s="11">
        <v>41414</v>
      </c>
      <c r="H416" s="90">
        <f>IF(F416&gt;0,0,"")</f>
        <v>0</v>
      </c>
      <c r="I416" s="90">
        <f>IF(H416=0,F416,"")</f>
        <v>860000</v>
      </c>
      <c r="J416" s="118" t="str">
        <f>IF(I416&gt;0,"ATRASADO","")</f>
        <v>ATRASADO</v>
      </c>
    </row>
    <row r="417" spans="2:10">
      <c r="B417" s="13"/>
      <c r="C417" s="19"/>
      <c r="D417" s="12"/>
      <c r="E417" s="11"/>
      <c r="F417" s="32"/>
      <c r="G417" s="11"/>
    </row>
    <row r="418" spans="2:10">
      <c r="B418" s="13" t="s">
        <v>143</v>
      </c>
      <c r="C418" s="19" t="s">
        <v>144</v>
      </c>
      <c r="D418" s="28">
        <v>1501939632</v>
      </c>
      <c r="E418" s="10">
        <v>41718</v>
      </c>
      <c r="F418" s="32">
        <v>135346</v>
      </c>
      <c r="G418" s="10">
        <v>41718</v>
      </c>
      <c r="H418" s="90">
        <f>IF(F418&gt;0,0,"")</f>
        <v>0</v>
      </c>
      <c r="I418" s="90">
        <f>IF(H418=0,F418,"")</f>
        <v>135346</v>
      </c>
      <c r="J418" s="118" t="str">
        <f>IF(I418&gt;0,"ATRASADO","")</f>
        <v>ATRASADO</v>
      </c>
    </row>
    <row r="419" spans="2:10">
      <c r="B419" s="13"/>
      <c r="C419" s="19"/>
      <c r="D419" s="17"/>
      <c r="E419" s="24"/>
      <c r="F419" s="32"/>
      <c r="G419" s="24"/>
    </row>
    <row r="420" spans="2:10">
      <c r="B420" s="13" t="s">
        <v>521</v>
      </c>
      <c r="C420" s="19" t="s">
        <v>467</v>
      </c>
      <c r="D420" s="35" t="s">
        <v>520</v>
      </c>
      <c r="E420" s="36">
        <v>41973</v>
      </c>
      <c r="F420" s="32">
        <v>102424</v>
      </c>
      <c r="G420" s="36">
        <v>41973</v>
      </c>
      <c r="H420" s="90">
        <f>IF(F420&gt;0,0,"")</f>
        <v>0</v>
      </c>
      <c r="I420" s="90">
        <f>IF(H420=0,F420,"")</f>
        <v>102424</v>
      </c>
      <c r="J420" s="118" t="str">
        <f>IF(I420&gt;0,"ATRASADO","")</f>
        <v>ATRASADO</v>
      </c>
    </row>
    <row r="421" spans="2:10">
      <c r="B421" s="13"/>
      <c r="C421" s="19"/>
      <c r="D421" s="17"/>
      <c r="E421" s="24"/>
      <c r="F421" s="32"/>
      <c r="G421" s="24"/>
    </row>
    <row r="422" spans="2:10">
      <c r="B422" s="13" t="s">
        <v>516</v>
      </c>
      <c r="C422" s="19" t="s">
        <v>467</v>
      </c>
      <c r="D422" s="35" t="s">
        <v>510</v>
      </c>
      <c r="E422" s="36">
        <v>41455</v>
      </c>
      <c r="F422" s="32">
        <v>19182</v>
      </c>
      <c r="G422" s="36">
        <v>41455</v>
      </c>
      <c r="H422" s="90">
        <f t="shared" ref="H422:H427" si="24">IF(F422&gt;0,0,"")</f>
        <v>0</v>
      </c>
      <c r="I422" s="90">
        <f t="shared" ref="I422:I427" si="25">IF(H422=0,F422,"")</f>
        <v>19182</v>
      </c>
      <c r="J422" s="118" t="str">
        <f t="shared" ref="J422:J427" si="26">IF(I422&gt;0,"ATRASADO","")</f>
        <v>ATRASADO</v>
      </c>
    </row>
    <row r="423" spans="2:10">
      <c r="B423" s="13" t="s">
        <v>516</v>
      </c>
      <c r="C423" s="19" t="s">
        <v>467</v>
      </c>
      <c r="D423" s="35" t="s">
        <v>511</v>
      </c>
      <c r="E423" s="36">
        <v>41455</v>
      </c>
      <c r="F423" s="32">
        <v>5415</v>
      </c>
      <c r="G423" s="36">
        <v>41455</v>
      </c>
      <c r="H423" s="90">
        <f t="shared" si="24"/>
        <v>0</v>
      </c>
      <c r="I423" s="90">
        <f t="shared" si="25"/>
        <v>5415</v>
      </c>
      <c r="J423" s="118" t="str">
        <f t="shared" si="26"/>
        <v>ATRASADO</v>
      </c>
    </row>
    <row r="424" spans="2:10">
      <c r="B424" s="13" t="s">
        <v>516</v>
      </c>
      <c r="C424" s="19" t="s">
        <v>467</v>
      </c>
      <c r="D424" s="35" t="s">
        <v>512</v>
      </c>
      <c r="E424" s="36">
        <v>41455</v>
      </c>
      <c r="F424" s="32">
        <v>5930</v>
      </c>
      <c r="G424" s="36">
        <v>41455</v>
      </c>
      <c r="H424" s="90">
        <f t="shared" si="24"/>
        <v>0</v>
      </c>
      <c r="I424" s="90">
        <f t="shared" si="25"/>
        <v>5930</v>
      </c>
      <c r="J424" s="118" t="str">
        <f t="shared" si="26"/>
        <v>ATRASADO</v>
      </c>
    </row>
    <row r="425" spans="2:10">
      <c r="B425" s="13" t="s">
        <v>516</v>
      </c>
      <c r="C425" s="19" t="s">
        <v>467</v>
      </c>
      <c r="D425" s="35" t="s">
        <v>513</v>
      </c>
      <c r="E425" s="36">
        <v>41455</v>
      </c>
      <c r="F425" s="32">
        <v>11213.8</v>
      </c>
      <c r="G425" s="36">
        <v>41455</v>
      </c>
      <c r="H425" s="90">
        <f t="shared" si="24"/>
        <v>0</v>
      </c>
      <c r="I425" s="90">
        <f t="shared" si="25"/>
        <v>11213.8</v>
      </c>
      <c r="J425" s="118" t="str">
        <f t="shared" si="26"/>
        <v>ATRASADO</v>
      </c>
    </row>
    <row r="426" spans="2:10">
      <c r="B426" s="13" t="s">
        <v>516</v>
      </c>
      <c r="C426" s="19" t="s">
        <v>467</v>
      </c>
      <c r="D426" s="35" t="s">
        <v>514</v>
      </c>
      <c r="E426" s="36">
        <v>41289</v>
      </c>
      <c r="F426" s="32">
        <v>87718</v>
      </c>
      <c r="G426" s="36">
        <v>41289</v>
      </c>
      <c r="H426" s="90">
        <f t="shared" si="24"/>
        <v>0</v>
      </c>
      <c r="I426" s="90">
        <f t="shared" si="25"/>
        <v>87718</v>
      </c>
      <c r="J426" s="118" t="str">
        <f t="shared" si="26"/>
        <v>ATRASADO</v>
      </c>
    </row>
    <row r="427" spans="2:10">
      <c r="B427" s="13" t="s">
        <v>516</v>
      </c>
      <c r="C427" s="19" t="s">
        <v>467</v>
      </c>
      <c r="D427" s="35" t="s">
        <v>515</v>
      </c>
      <c r="E427" s="36">
        <v>41289</v>
      </c>
      <c r="F427" s="32">
        <v>6900</v>
      </c>
      <c r="G427" s="36">
        <v>41289</v>
      </c>
      <c r="H427" s="90">
        <f t="shared" si="24"/>
        <v>0</v>
      </c>
      <c r="I427" s="90">
        <f t="shared" si="25"/>
        <v>6900</v>
      </c>
      <c r="J427" s="118" t="str">
        <f t="shared" si="26"/>
        <v>ATRASADO</v>
      </c>
    </row>
    <row r="428" spans="2:10">
      <c r="B428" s="13"/>
      <c r="C428" s="19"/>
      <c r="D428" s="17"/>
      <c r="E428" s="24"/>
      <c r="F428" s="32"/>
      <c r="G428" s="24"/>
    </row>
    <row r="429" spans="2:10" ht="24.75">
      <c r="B429" s="13" t="s">
        <v>170</v>
      </c>
      <c r="C429" s="19" t="s">
        <v>171</v>
      </c>
      <c r="D429" s="49" t="s">
        <v>169</v>
      </c>
      <c r="E429" s="11">
        <v>42004</v>
      </c>
      <c r="F429" s="32">
        <v>56379985.829999998</v>
      </c>
      <c r="G429" s="11">
        <v>42004</v>
      </c>
      <c r="H429" s="90">
        <f t="shared" ref="H429:H480" si="27">IF(F429&gt;0,0,"")</f>
        <v>0</v>
      </c>
      <c r="I429" s="90">
        <f t="shared" ref="I429:I480" si="28">IF(H429=0,F429,"")</f>
        <v>56379985.829999998</v>
      </c>
      <c r="J429" s="118" t="str">
        <f t="shared" ref="J429:J480" si="29">IF(I429&gt;0,"ATRASADO","")</f>
        <v>ATRASADO</v>
      </c>
    </row>
    <row r="430" spans="2:10">
      <c r="B430" s="13" t="s">
        <v>170</v>
      </c>
      <c r="C430" s="19" t="s">
        <v>172</v>
      </c>
      <c r="D430" s="49" t="s">
        <v>169</v>
      </c>
      <c r="E430" s="11">
        <v>42369</v>
      </c>
      <c r="F430" s="32">
        <v>9233539.5600000005</v>
      </c>
      <c r="G430" s="11">
        <v>42369</v>
      </c>
      <c r="H430" s="90">
        <f t="shared" si="27"/>
        <v>0</v>
      </c>
      <c r="I430" s="90">
        <f t="shared" si="28"/>
        <v>9233539.5600000005</v>
      </c>
      <c r="J430" s="118" t="str">
        <f t="shared" si="29"/>
        <v>ATRASADO</v>
      </c>
    </row>
    <row r="431" spans="2:10">
      <c r="B431" s="13" t="s">
        <v>170</v>
      </c>
      <c r="C431" s="19" t="s">
        <v>469</v>
      </c>
      <c r="D431" s="49" t="s">
        <v>169</v>
      </c>
      <c r="E431" s="11">
        <v>42400</v>
      </c>
      <c r="F431" s="32">
        <v>8919797.25</v>
      </c>
      <c r="G431" s="87">
        <v>42400</v>
      </c>
      <c r="H431" s="90">
        <f t="shared" si="27"/>
        <v>0</v>
      </c>
      <c r="I431" s="90">
        <f t="shared" si="28"/>
        <v>8919797.25</v>
      </c>
      <c r="J431" s="118" t="str">
        <f t="shared" si="29"/>
        <v>ATRASADO</v>
      </c>
    </row>
    <row r="432" spans="2:10">
      <c r="B432" s="13" t="s">
        <v>170</v>
      </c>
      <c r="C432" s="19" t="s">
        <v>173</v>
      </c>
      <c r="D432" s="49" t="s">
        <v>169</v>
      </c>
      <c r="E432" s="11">
        <v>42735</v>
      </c>
      <c r="F432" s="32">
        <v>1345055.71</v>
      </c>
      <c r="G432" s="11">
        <v>42735</v>
      </c>
      <c r="H432" s="90">
        <f t="shared" si="27"/>
        <v>0</v>
      </c>
      <c r="I432" s="90">
        <f t="shared" si="28"/>
        <v>1345055.71</v>
      </c>
      <c r="J432" s="118" t="str">
        <f t="shared" si="29"/>
        <v>ATRASADO</v>
      </c>
    </row>
    <row r="433" spans="2:10">
      <c r="B433" s="13" t="s">
        <v>170</v>
      </c>
      <c r="C433" s="19" t="s">
        <v>174</v>
      </c>
      <c r="D433" s="49" t="s">
        <v>169</v>
      </c>
      <c r="E433" s="11">
        <v>42766</v>
      </c>
      <c r="F433" s="32">
        <f>1239042.35-756290.86</f>
        <v>482751.49000000011</v>
      </c>
      <c r="G433" s="11">
        <v>42766</v>
      </c>
      <c r="H433" s="90">
        <f t="shared" si="27"/>
        <v>0</v>
      </c>
      <c r="I433" s="90">
        <f t="shared" si="28"/>
        <v>482751.49000000011</v>
      </c>
      <c r="J433" s="118" t="str">
        <f t="shared" si="29"/>
        <v>ATRASADO</v>
      </c>
    </row>
    <row r="434" spans="2:10">
      <c r="B434" s="13" t="s">
        <v>170</v>
      </c>
      <c r="C434" s="19" t="s">
        <v>175</v>
      </c>
      <c r="D434" s="49" t="s">
        <v>169</v>
      </c>
      <c r="E434" s="11">
        <v>42825</v>
      </c>
      <c r="F434" s="32">
        <f>1609059.97-781962.74</f>
        <v>827097.23</v>
      </c>
      <c r="G434" s="11">
        <v>42825</v>
      </c>
      <c r="H434" s="90">
        <f t="shared" si="27"/>
        <v>0</v>
      </c>
      <c r="I434" s="90">
        <f t="shared" si="28"/>
        <v>827097.23</v>
      </c>
      <c r="J434" s="118" t="str">
        <f t="shared" si="29"/>
        <v>ATRASADO</v>
      </c>
    </row>
    <row r="435" spans="2:10">
      <c r="B435" s="13" t="s">
        <v>170</v>
      </c>
      <c r="C435" s="19" t="s">
        <v>176</v>
      </c>
      <c r="D435" s="49" t="s">
        <v>169</v>
      </c>
      <c r="E435" s="11">
        <v>42855</v>
      </c>
      <c r="F435" s="32">
        <f>1210456.97-785528.52</f>
        <v>424928.44999999995</v>
      </c>
      <c r="G435" s="11">
        <v>42855</v>
      </c>
      <c r="H435" s="90">
        <f t="shared" si="27"/>
        <v>0</v>
      </c>
      <c r="I435" s="90">
        <f t="shared" si="28"/>
        <v>424928.44999999995</v>
      </c>
      <c r="J435" s="118" t="str">
        <f t="shared" si="29"/>
        <v>ATRASADO</v>
      </c>
    </row>
    <row r="436" spans="2:10">
      <c r="B436" s="13" t="s">
        <v>170</v>
      </c>
      <c r="C436" s="19" t="s">
        <v>177</v>
      </c>
      <c r="D436" s="49" t="s">
        <v>169</v>
      </c>
      <c r="E436" s="11">
        <v>42886</v>
      </c>
      <c r="F436" s="32">
        <f>1220483.12-862272.67</f>
        <v>358210.45000000007</v>
      </c>
      <c r="G436" s="11">
        <v>42886</v>
      </c>
      <c r="H436" s="90">
        <f t="shared" si="27"/>
        <v>0</v>
      </c>
      <c r="I436" s="90">
        <f t="shared" si="28"/>
        <v>358210.45000000007</v>
      </c>
      <c r="J436" s="118" t="str">
        <f t="shared" si="29"/>
        <v>ATRASADO</v>
      </c>
    </row>
    <row r="437" spans="2:10">
      <c r="B437" s="13" t="s">
        <v>170</v>
      </c>
      <c r="C437" s="19" t="s">
        <v>178</v>
      </c>
      <c r="D437" s="49" t="s">
        <v>169</v>
      </c>
      <c r="E437" s="11">
        <v>42916</v>
      </c>
      <c r="F437" s="32">
        <v>1132676.27</v>
      </c>
      <c r="G437" s="11">
        <v>42916</v>
      </c>
      <c r="H437" s="90">
        <f t="shared" si="27"/>
        <v>0</v>
      </c>
      <c r="I437" s="90">
        <f t="shared" si="28"/>
        <v>1132676.27</v>
      </c>
      <c r="J437" s="118" t="str">
        <f t="shared" si="29"/>
        <v>ATRASADO</v>
      </c>
    </row>
    <row r="438" spans="2:10">
      <c r="B438" s="13" t="s">
        <v>170</v>
      </c>
      <c r="C438" s="19" t="s">
        <v>179</v>
      </c>
      <c r="D438" s="49" t="s">
        <v>169</v>
      </c>
      <c r="E438" s="11">
        <v>42947</v>
      </c>
      <c r="F438" s="32">
        <f>866397.65-864510.68</f>
        <v>1886.9699999999721</v>
      </c>
      <c r="G438" s="11">
        <v>42947</v>
      </c>
      <c r="H438" s="90">
        <f t="shared" si="27"/>
        <v>0</v>
      </c>
      <c r="I438" s="90">
        <f t="shared" si="28"/>
        <v>1886.9699999999721</v>
      </c>
      <c r="J438" s="118" t="str">
        <f t="shared" si="29"/>
        <v>ATRASADO</v>
      </c>
    </row>
    <row r="439" spans="2:10">
      <c r="B439" s="13" t="s">
        <v>170</v>
      </c>
      <c r="C439" s="19" t="s">
        <v>180</v>
      </c>
      <c r="D439" s="49" t="s">
        <v>169</v>
      </c>
      <c r="E439" s="11">
        <v>42978</v>
      </c>
      <c r="F439" s="32">
        <v>1206347.3400000001</v>
      </c>
      <c r="G439" s="11">
        <v>42978</v>
      </c>
      <c r="H439" s="90">
        <f t="shared" si="27"/>
        <v>0</v>
      </c>
      <c r="I439" s="90">
        <f t="shared" si="28"/>
        <v>1206347.3400000001</v>
      </c>
      <c r="J439" s="118" t="str">
        <f t="shared" si="29"/>
        <v>ATRASADO</v>
      </c>
    </row>
    <row r="440" spans="2:10">
      <c r="B440" s="13" t="s">
        <v>170</v>
      </c>
      <c r="C440" s="19" t="s">
        <v>475</v>
      </c>
      <c r="D440" s="49" t="s">
        <v>169</v>
      </c>
      <c r="E440" s="11">
        <v>43008</v>
      </c>
      <c r="F440" s="32">
        <v>1442361.62</v>
      </c>
      <c r="G440" s="11">
        <v>43008</v>
      </c>
      <c r="H440" s="90">
        <f t="shared" si="27"/>
        <v>0</v>
      </c>
      <c r="I440" s="90">
        <f t="shared" si="28"/>
        <v>1442361.62</v>
      </c>
      <c r="J440" s="118" t="str">
        <f t="shared" si="29"/>
        <v>ATRASADO</v>
      </c>
    </row>
    <row r="441" spans="2:10">
      <c r="B441" s="13" t="s">
        <v>170</v>
      </c>
      <c r="C441" s="19" t="s">
        <v>478</v>
      </c>
      <c r="D441" s="49" t="s">
        <v>169</v>
      </c>
      <c r="E441" s="11">
        <v>43039</v>
      </c>
      <c r="F441" s="32">
        <v>1472113.08</v>
      </c>
      <c r="G441" s="11">
        <v>43039</v>
      </c>
      <c r="H441" s="90">
        <f t="shared" si="27"/>
        <v>0</v>
      </c>
      <c r="I441" s="90">
        <f t="shared" si="28"/>
        <v>1472113.08</v>
      </c>
      <c r="J441" s="118" t="str">
        <f t="shared" si="29"/>
        <v>ATRASADO</v>
      </c>
    </row>
    <row r="442" spans="2:10">
      <c r="B442" s="13" t="s">
        <v>170</v>
      </c>
      <c r="C442" s="19" t="s">
        <v>481</v>
      </c>
      <c r="D442" s="49" t="s">
        <v>169</v>
      </c>
      <c r="E442" s="11">
        <v>43069</v>
      </c>
      <c r="F442" s="32">
        <v>1375804.05</v>
      </c>
      <c r="G442" s="11">
        <v>43069</v>
      </c>
      <c r="H442" s="90">
        <f t="shared" si="27"/>
        <v>0</v>
      </c>
      <c r="I442" s="90">
        <f t="shared" si="28"/>
        <v>1375804.05</v>
      </c>
      <c r="J442" s="118" t="str">
        <f t="shared" si="29"/>
        <v>ATRASADO</v>
      </c>
    </row>
    <row r="443" spans="2:10">
      <c r="B443" s="13" t="s">
        <v>170</v>
      </c>
      <c r="C443" s="19" t="s">
        <v>483</v>
      </c>
      <c r="D443" s="49" t="s">
        <v>169</v>
      </c>
      <c r="E443" s="11">
        <v>43100</v>
      </c>
      <c r="F443" s="32">
        <v>1138072.55</v>
      </c>
      <c r="G443" s="11">
        <v>43100</v>
      </c>
      <c r="H443" s="90">
        <f t="shared" si="27"/>
        <v>0</v>
      </c>
      <c r="I443" s="90">
        <f t="shared" si="28"/>
        <v>1138072.55</v>
      </c>
      <c r="J443" s="118" t="str">
        <f t="shared" si="29"/>
        <v>ATRASADO</v>
      </c>
    </row>
    <row r="444" spans="2:10">
      <c r="B444" s="13" t="s">
        <v>170</v>
      </c>
      <c r="C444" s="19" t="s">
        <v>573</v>
      </c>
      <c r="D444" s="49" t="s">
        <v>169</v>
      </c>
      <c r="E444" s="11">
        <v>43131</v>
      </c>
      <c r="F444" s="32">
        <f>2355581.69-23223.29+2.53</f>
        <v>2332360.9299999997</v>
      </c>
      <c r="G444" s="11">
        <v>43131</v>
      </c>
      <c r="H444" s="90">
        <f t="shared" si="27"/>
        <v>0</v>
      </c>
      <c r="I444" s="90">
        <f t="shared" si="28"/>
        <v>2332360.9299999997</v>
      </c>
      <c r="J444" s="118" t="str">
        <f t="shared" si="29"/>
        <v>ATRASADO</v>
      </c>
    </row>
    <row r="445" spans="2:10">
      <c r="B445" s="13" t="s">
        <v>170</v>
      </c>
      <c r="C445" s="19" t="s">
        <v>575</v>
      </c>
      <c r="D445" s="49" t="s">
        <v>169</v>
      </c>
      <c r="E445" s="11">
        <v>43159</v>
      </c>
      <c r="F445" s="32">
        <v>2003149.4</v>
      </c>
      <c r="G445" s="11">
        <v>43159</v>
      </c>
      <c r="H445" s="90">
        <f t="shared" si="27"/>
        <v>0</v>
      </c>
      <c r="I445" s="90">
        <f t="shared" si="28"/>
        <v>2003149.4</v>
      </c>
      <c r="J445" s="118" t="str">
        <f t="shared" si="29"/>
        <v>ATRASADO</v>
      </c>
    </row>
    <row r="446" spans="2:10">
      <c r="B446" s="13" t="s">
        <v>170</v>
      </c>
      <c r="C446" s="19" t="s">
        <v>578</v>
      </c>
      <c r="D446" s="49" t="s">
        <v>169</v>
      </c>
      <c r="E446" s="11">
        <v>43190</v>
      </c>
      <c r="F446" s="32">
        <v>876079.83</v>
      </c>
      <c r="G446" s="11">
        <v>43190</v>
      </c>
      <c r="H446" s="90">
        <f t="shared" si="27"/>
        <v>0</v>
      </c>
      <c r="I446" s="90">
        <f t="shared" si="28"/>
        <v>876079.83</v>
      </c>
      <c r="J446" s="118" t="str">
        <f t="shared" si="29"/>
        <v>ATRASADO</v>
      </c>
    </row>
    <row r="447" spans="2:10">
      <c r="B447" s="13" t="s">
        <v>170</v>
      </c>
      <c r="C447" s="19" t="s">
        <v>583</v>
      </c>
      <c r="D447" s="49" t="s">
        <v>169</v>
      </c>
      <c r="E447" s="11">
        <v>43220</v>
      </c>
      <c r="F447" s="32">
        <v>1676311.82</v>
      </c>
      <c r="G447" s="11" t="s">
        <v>584</v>
      </c>
      <c r="H447" s="90">
        <f t="shared" si="27"/>
        <v>0</v>
      </c>
      <c r="I447" s="90">
        <f t="shared" si="28"/>
        <v>1676311.82</v>
      </c>
      <c r="J447" s="118" t="str">
        <f t="shared" si="29"/>
        <v>ATRASADO</v>
      </c>
    </row>
    <row r="448" spans="2:10">
      <c r="B448" s="13" t="s">
        <v>170</v>
      </c>
      <c r="C448" s="19" t="s">
        <v>589</v>
      </c>
      <c r="D448" s="49" t="s">
        <v>169</v>
      </c>
      <c r="E448" s="11">
        <v>43251</v>
      </c>
      <c r="F448" s="32">
        <f>1910855.84+756290.86</f>
        <v>2667146.7000000002</v>
      </c>
      <c r="G448" s="11">
        <v>43251</v>
      </c>
      <c r="H448" s="90">
        <f t="shared" si="27"/>
        <v>0</v>
      </c>
      <c r="I448" s="90">
        <f t="shared" si="28"/>
        <v>2667146.7000000002</v>
      </c>
      <c r="J448" s="118" t="str">
        <f t="shared" si="29"/>
        <v>ATRASADO</v>
      </c>
    </row>
    <row r="449" spans="2:10">
      <c r="B449" s="13" t="s">
        <v>170</v>
      </c>
      <c r="C449" s="19" t="s">
        <v>595</v>
      </c>
      <c r="D449" s="49" t="s">
        <v>169</v>
      </c>
      <c r="E449" s="11">
        <v>43281</v>
      </c>
      <c r="F449" s="32">
        <v>1647905.42</v>
      </c>
      <c r="G449" s="11">
        <v>43281</v>
      </c>
      <c r="H449" s="90">
        <f t="shared" si="27"/>
        <v>0</v>
      </c>
      <c r="I449" s="90">
        <f t="shared" si="28"/>
        <v>1647905.42</v>
      </c>
      <c r="J449" s="118" t="str">
        <f t="shared" si="29"/>
        <v>ATRASADO</v>
      </c>
    </row>
    <row r="450" spans="2:10">
      <c r="B450" s="13" t="s">
        <v>170</v>
      </c>
      <c r="C450" s="19" t="s">
        <v>604</v>
      </c>
      <c r="D450" s="49" t="s">
        <v>169</v>
      </c>
      <c r="E450" s="11">
        <v>43312</v>
      </c>
      <c r="F450" s="32">
        <v>2001908.67</v>
      </c>
      <c r="G450" s="11">
        <v>43312</v>
      </c>
      <c r="H450" s="90">
        <f t="shared" si="27"/>
        <v>0</v>
      </c>
      <c r="I450" s="90">
        <f t="shared" si="28"/>
        <v>2001908.67</v>
      </c>
      <c r="J450" s="118" t="str">
        <f t="shared" si="29"/>
        <v>ATRASADO</v>
      </c>
    </row>
    <row r="451" spans="2:10">
      <c r="B451" s="13" t="s">
        <v>170</v>
      </c>
      <c r="C451" s="19" t="s">
        <v>617</v>
      </c>
      <c r="D451" s="49" t="s">
        <v>169</v>
      </c>
      <c r="E451" s="11">
        <v>43343</v>
      </c>
      <c r="F451" s="32">
        <v>1779408.53</v>
      </c>
      <c r="G451" s="11">
        <v>43343</v>
      </c>
      <c r="H451" s="90">
        <f t="shared" si="27"/>
        <v>0</v>
      </c>
      <c r="I451" s="90">
        <f t="shared" si="28"/>
        <v>1779408.53</v>
      </c>
      <c r="J451" s="118" t="str">
        <f t="shared" si="29"/>
        <v>ATRASADO</v>
      </c>
    </row>
    <row r="452" spans="2:10">
      <c r="B452" s="13" t="s">
        <v>170</v>
      </c>
      <c r="C452" s="19" t="s">
        <v>627</v>
      </c>
      <c r="D452" s="49" t="s">
        <v>169</v>
      </c>
      <c r="E452" s="11">
        <v>43373</v>
      </c>
      <c r="F452" s="32">
        <v>2137123.15</v>
      </c>
      <c r="G452" s="11">
        <v>43373</v>
      </c>
      <c r="H452" s="90">
        <f t="shared" si="27"/>
        <v>0</v>
      </c>
      <c r="I452" s="90">
        <f t="shared" si="28"/>
        <v>2137123.15</v>
      </c>
      <c r="J452" s="118" t="str">
        <f t="shared" si="29"/>
        <v>ATRASADO</v>
      </c>
    </row>
    <row r="453" spans="2:10">
      <c r="B453" s="13" t="s">
        <v>170</v>
      </c>
      <c r="C453" s="19" t="s">
        <v>636</v>
      </c>
      <c r="D453" s="49" t="s">
        <v>169</v>
      </c>
      <c r="E453" s="11">
        <v>43404</v>
      </c>
      <c r="F453" s="32">
        <v>1501029.52</v>
      </c>
      <c r="G453" s="11">
        <v>43404</v>
      </c>
      <c r="H453" s="90">
        <f t="shared" si="27"/>
        <v>0</v>
      </c>
      <c r="I453" s="90">
        <f t="shared" si="28"/>
        <v>1501029.52</v>
      </c>
      <c r="J453" s="118" t="str">
        <f t="shared" si="29"/>
        <v>ATRASADO</v>
      </c>
    </row>
    <row r="454" spans="2:10">
      <c r="B454" s="13" t="s">
        <v>170</v>
      </c>
      <c r="C454" s="19" t="s">
        <v>639</v>
      </c>
      <c r="D454" s="49" t="s">
        <v>169</v>
      </c>
      <c r="E454" s="11" t="s">
        <v>638</v>
      </c>
      <c r="F454" s="32">
        <v>1401290.8</v>
      </c>
      <c r="G454" s="11" t="s">
        <v>638</v>
      </c>
      <c r="H454" s="90">
        <f t="shared" si="27"/>
        <v>0</v>
      </c>
      <c r="I454" s="90">
        <f t="shared" si="28"/>
        <v>1401290.8</v>
      </c>
      <c r="J454" s="118" t="str">
        <f t="shared" si="29"/>
        <v>ATRASADO</v>
      </c>
    </row>
    <row r="455" spans="2:10">
      <c r="B455" s="13" t="s">
        <v>170</v>
      </c>
      <c r="C455" s="19" t="s">
        <v>649</v>
      </c>
      <c r="D455" s="49" t="s">
        <v>169</v>
      </c>
      <c r="E455" s="11">
        <v>43465</v>
      </c>
      <c r="F455" s="32">
        <f>2645215.75+244934.76</f>
        <v>2890150.51</v>
      </c>
      <c r="G455" s="11">
        <v>43465</v>
      </c>
      <c r="H455" s="90">
        <f t="shared" si="27"/>
        <v>0</v>
      </c>
      <c r="I455" s="90">
        <f t="shared" si="28"/>
        <v>2890150.51</v>
      </c>
      <c r="J455" s="118" t="str">
        <f t="shared" si="29"/>
        <v>ATRASADO</v>
      </c>
    </row>
    <row r="456" spans="2:10">
      <c r="B456" s="13" t="s">
        <v>170</v>
      </c>
      <c r="C456" s="19" t="s">
        <v>654</v>
      </c>
      <c r="D456" s="49" t="s">
        <v>169</v>
      </c>
      <c r="E456" s="11">
        <v>43496</v>
      </c>
      <c r="F456" s="32">
        <v>2747051.23</v>
      </c>
      <c r="G456" s="11">
        <v>43496</v>
      </c>
      <c r="H456" s="90">
        <f t="shared" si="27"/>
        <v>0</v>
      </c>
      <c r="I456" s="90">
        <f t="shared" si="28"/>
        <v>2747051.23</v>
      </c>
      <c r="J456" s="118" t="str">
        <f t="shared" si="29"/>
        <v>ATRASADO</v>
      </c>
    </row>
    <row r="457" spans="2:10">
      <c r="B457" s="13" t="s">
        <v>170</v>
      </c>
      <c r="C457" s="19" t="s">
        <v>662</v>
      </c>
      <c r="D457" s="49" t="s">
        <v>169</v>
      </c>
      <c r="E457" s="11">
        <v>43524</v>
      </c>
      <c r="F457" s="32">
        <v>2993633.54</v>
      </c>
      <c r="G457" s="11">
        <v>43524</v>
      </c>
      <c r="H457" s="90">
        <f t="shared" si="27"/>
        <v>0</v>
      </c>
      <c r="I457" s="90">
        <f t="shared" si="28"/>
        <v>2993633.54</v>
      </c>
      <c r="J457" s="118" t="str">
        <f t="shared" si="29"/>
        <v>ATRASADO</v>
      </c>
    </row>
    <row r="458" spans="2:10">
      <c r="B458" s="13" t="s">
        <v>170</v>
      </c>
      <c r="C458" s="19" t="s">
        <v>668</v>
      </c>
      <c r="D458" s="49" t="s">
        <v>169</v>
      </c>
      <c r="E458" s="11">
        <v>43555</v>
      </c>
      <c r="F458" s="32">
        <v>2122219.84</v>
      </c>
      <c r="G458" s="11">
        <v>43555</v>
      </c>
      <c r="H458" s="90">
        <f t="shared" si="27"/>
        <v>0</v>
      </c>
      <c r="I458" s="90">
        <f t="shared" si="28"/>
        <v>2122219.84</v>
      </c>
      <c r="J458" s="118" t="str">
        <f t="shared" si="29"/>
        <v>ATRASADO</v>
      </c>
    </row>
    <row r="459" spans="2:10">
      <c r="B459" s="13" t="s">
        <v>170</v>
      </c>
      <c r="C459" s="19" t="s">
        <v>676</v>
      </c>
      <c r="D459" s="49" t="s">
        <v>169</v>
      </c>
      <c r="E459" s="11">
        <v>43585</v>
      </c>
      <c r="F459" s="32">
        <v>1555561.97</v>
      </c>
      <c r="G459" s="11">
        <v>43585</v>
      </c>
      <c r="H459" s="90">
        <f t="shared" si="27"/>
        <v>0</v>
      </c>
      <c r="I459" s="90">
        <f t="shared" si="28"/>
        <v>1555561.97</v>
      </c>
      <c r="J459" s="118" t="str">
        <f t="shared" si="29"/>
        <v>ATRASADO</v>
      </c>
    </row>
    <row r="460" spans="2:10">
      <c r="B460" s="13" t="s">
        <v>170</v>
      </c>
      <c r="C460" s="19" t="s">
        <v>687</v>
      </c>
      <c r="D460" s="49" t="s">
        <v>169</v>
      </c>
      <c r="E460" s="11">
        <v>43616</v>
      </c>
      <c r="F460" s="32">
        <v>1973081.95</v>
      </c>
      <c r="G460" s="11">
        <v>43616</v>
      </c>
      <c r="H460" s="90">
        <f t="shared" si="27"/>
        <v>0</v>
      </c>
      <c r="I460" s="90">
        <f t="shared" si="28"/>
        <v>1973081.95</v>
      </c>
      <c r="J460" s="118" t="str">
        <f t="shared" si="29"/>
        <v>ATRASADO</v>
      </c>
    </row>
    <row r="461" spans="2:10">
      <c r="B461" s="13" t="s">
        <v>170</v>
      </c>
      <c r="C461" s="19" t="s">
        <v>698</v>
      </c>
      <c r="D461" s="49" t="s">
        <v>169</v>
      </c>
      <c r="E461" s="11">
        <v>43646</v>
      </c>
      <c r="F461" s="32">
        <v>2245627.08</v>
      </c>
      <c r="G461" s="11">
        <v>43646</v>
      </c>
      <c r="H461" s="90">
        <f t="shared" si="27"/>
        <v>0</v>
      </c>
      <c r="I461" s="90">
        <f t="shared" si="28"/>
        <v>2245627.08</v>
      </c>
      <c r="J461" s="118" t="str">
        <f t="shared" si="29"/>
        <v>ATRASADO</v>
      </c>
    </row>
    <row r="462" spans="2:10">
      <c r="B462" s="13" t="s">
        <v>170</v>
      </c>
      <c r="C462" s="19" t="s">
        <v>706</v>
      </c>
      <c r="D462" s="49" t="s">
        <v>169</v>
      </c>
      <c r="E462" s="11">
        <v>43677</v>
      </c>
      <c r="F462" s="32">
        <v>1857362.11</v>
      </c>
      <c r="G462" s="11">
        <v>43677</v>
      </c>
      <c r="H462" s="90">
        <f t="shared" si="27"/>
        <v>0</v>
      </c>
      <c r="I462" s="90">
        <f t="shared" si="28"/>
        <v>1857362.11</v>
      </c>
      <c r="J462" s="118" t="str">
        <f t="shared" si="29"/>
        <v>ATRASADO</v>
      </c>
    </row>
    <row r="463" spans="2:10">
      <c r="B463" s="13" t="s">
        <v>170</v>
      </c>
      <c r="C463" s="19" t="s">
        <v>714</v>
      </c>
      <c r="D463" s="49" t="s">
        <v>169</v>
      </c>
      <c r="E463" s="11">
        <v>43708</v>
      </c>
      <c r="F463" s="32">
        <v>1920933.16</v>
      </c>
      <c r="G463" s="11">
        <v>43708</v>
      </c>
      <c r="H463" s="90">
        <f t="shared" si="27"/>
        <v>0</v>
      </c>
      <c r="I463" s="90">
        <f t="shared" si="28"/>
        <v>1920933.16</v>
      </c>
      <c r="J463" s="118" t="str">
        <f t="shared" si="29"/>
        <v>ATRASADO</v>
      </c>
    </row>
    <row r="464" spans="2:10">
      <c r="B464" s="13" t="s">
        <v>170</v>
      </c>
      <c r="C464" s="19" t="s">
        <v>724</v>
      </c>
      <c r="D464" s="49" t="s">
        <v>169</v>
      </c>
      <c r="E464" s="11">
        <v>43738</v>
      </c>
      <c r="F464" s="32">
        <v>1975993.12</v>
      </c>
      <c r="G464" s="11">
        <v>43738</v>
      </c>
      <c r="H464" s="90">
        <f t="shared" si="27"/>
        <v>0</v>
      </c>
      <c r="I464" s="90">
        <f t="shared" si="28"/>
        <v>1975993.12</v>
      </c>
      <c r="J464" s="118" t="str">
        <f t="shared" si="29"/>
        <v>ATRASADO</v>
      </c>
    </row>
    <row r="465" spans="2:10">
      <c r="B465" s="13" t="s">
        <v>170</v>
      </c>
      <c r="C465" s="19" t="s">
        <v>725</v>
      </c>
      <c r="D465" s="49" t="s">
        <v>169</v>
      </c>
      <c r="E465" s="11">
        <v>43769</v>
      </c>
      <c r="F465" s="32">
        <v>2503172.21</v>
      </c>
      <c r="G465" s="11">
        <v>43769</v>
      </c>
      <c r="H465" s="90">
        <f t="shared" si="27"/>
        <v>0</v>
      </c>
      <c r="I465" s="90">
        <f t="shared" si="28"/>
        <v>2503172.21</v>
      </c>
      <c r="J465" s="118" t="str">
        <f t="shared" si="29"/>
        <v>ATRASADO</v>
      </c>
    </row>
    <row r="466" spans="2:10">
      <c r="B466" s="13" t="s">
        <v>170</v>
      </c>
      <c r="C466" s="19" t="s">
        <v>733</v>
      </c>
      <c r="D466" s="49" t="s">
        <v>169</v>
      </c>
      <c r="E466" s="11">
        <v>43799</v>
      </c>
      <c r="F466" s="32">
        <v>2164909.46</v>
      </c>
      <c r="G466" s="11">
        <v>43799</v>
      </c>
      <c r="H466" s="90">
        <f t="shared" si="27"/>
        <v>0</v>
      </c>
      <c r="I466" s="90">
        <f t="shared" si="28"/>
        <v>2164909.46</v>
      </c>
      <c r="J466" s="118" t="str">
        <f t="shared" si="29"/>
        <v>ATRASADO</v>
      </c>
    </row>
    <row r="467" spans="2:10">
      <c r="B467" s="13" t="s">
        <v>170</v>
      </c>
      <c r="C467" s="19" t="s">
        <v>737</v>
      </c>
      <c r="D467" s="49" t="s">
        <v>169</v>
      </c>
      <c r="E467" s="11">
        <v>43830</v>
      </c>
      <c r="F467" s="32">
        <v>2298628.69</v>
      </c>
      <c r="G467" s="11">
        <v>43830</v>
      </c>
      <c r="H467" s="90">
        <f t="shared" si="27"/>
        <v>0</v>
      </c>
      <c r="I467" s="90">
        <f t="shared" si="28"/>
        <v>2298628.69</v>
      </c>
      <c r="J467" s="118" t="str">
        <f t="shared" si="29"/>
        <v>ATRASADO</v>
      </c>
    </row>
    <row r="468" spans="2:10">
      <c r="B468" s="13" t="s">
        <v>170</v>
      </c>
      <c r="C468" s="19" t="s">
        <v>749</v>
      </c>
      <c r="D468" s="49" t="s">
        <v>169</v>
      </c>
      <c r="E468" s="11">
        <v>43861</v>
      </c>
      <c r="F468" s="32">
        <v>2513043.1800000002</v>
      </c>
      <c r="G468" s="11">
        <v>43861</v>
      </c>
      <c r="H468" s="90">
        <f t="shared" si="27"/>
        <v>0</v>
      </c>
      <c r="I468" s="90">
        <f t="shared" si="28"/>
        <v>2513043.1800000002</v>
      </c>
      <c r="J468" s="118" t="str">
        <f t="shared" si="29"/>
        <v>ATRASADO</v>
      </c>
    </row>
    <row r="469" spans="2:10">
      <c r="B469" s="13" t="s">
        <v>170</v>
      </c>
      <c r="C469" s="19" t="s">
        <v>755</v>
      </c>
      <c r="D469" s="49" t="s">
        <v>169</v>
      </c>
      <c r="E469" s="11">
        <v>43890</v>
      </c>
      <c r="F469" s="32">
        <v>2910724.1</v>
      </c>
      <c r="G469" s="11">
        <v>43890</v>
      </c>
      <c r="H469" s="90">
        <f t="shared" si="27"/>
        <v>0</v>
      </c>
      <c r="I469" s="90">
        <f t="shared" si="28"/>
        <v>2910724.1</v>
      </c>
      <c r="J469" s="118" t="str">
        <f t="shared" si="29"/>
        <v>ATRASADO</v>
      </c>
    </row>
    <row r="470" spans="2:10">
      <c r="B470" s="13" t="s">
        <v>170</v>
      </c>
      <c r="C470" s="19" t="s">
        <v>851</v>
      </c>
      <c r="D470" s="49" t="s">
        <v>169</v>
      </c>
      <c r="E470" s="11" t="s">
        <v>849</v>
      </c>
      <c r="F470" s="32">
        <f>2264262.45</f>
        <v>2264262.4500000002</v>
      </c>
      <c r="G470" s="11" t="s">
        <v>849</v>
      </c>
      <c r="H470" s="90">
        <f t="shared" si="27"/>
        <v>0</v>
      </c>
      <c r="I470" s="90">
        <f t="shared" si="28"/>
        <v>2264262.4500000002</v>
      </c>
      <c r="J470" s="118" t="str">
        <f t="shared" si="29"/>
        <v>ATRASADO</v>
      </c>
    </row>
    <row r="471" spans="2:10">
      <c r="B471" s="13" t="s">
        <v>170</v>
      </c>
      <c r="C471" s="19" t="s">
        <v>856</v>
      </c>
      <c r="D471" s="49" t="s">
        <v>169</v>
      </c>
      <c r="E471" s="11" t="s">
        <v>855</v>
      </c>
      <c r="F471" s="32">
        <v>3489504.48</v>
      </c>
      <c r="G471" s="11" t="s">
        <v>855</v>
      </c>
      <c r="H471" s="90">
        <f t="shared" si="27"/>
        <v>0</v>
      </c>
      <c r="I471" s="90">
        <f t="shared" si="28"/>
        <v>3489504.48</v>
      </c>
      <c r="J471" s="118" t="str">
        <f t="shared" si="29"/>
        <v>ATRASADO</v>
      </c>
    </row>
    <row r="472" spans="2:10">
      <c r="B472" s="13" t="s">
        <v>170</v>
      </c>
      <c r="C472" s="19" t="s">
        <v>861</v>
      </c>
      <c r="D472" s="49" t="s">
        <v>169</v>
      </c>
      <c r="E472" s="11">
        <v>43982</v>
      </c>
      <c r="F472" s="32">
        <v>2650604.2000000002</v>
      </c>
      <c r="G472" s="11">
        <v>43982</v>
      </c>
      <c r="H472" s="90">
        <f t="shared" si="27"/>
        <v>0</v>
      </c>
      <c r="I472" s="90">
        <f t="shared" si="28"/>
        <v>2650604.2000000002</v>
      </c>
      <c r="J472" s="118" t="str">
        <f t="shared" si="29"/>
        <v>ATRASADO</v>
      </c>
    </row>
    <row r="473" spans="2:10">
      <c r="B473" s="13" t="s">
        <v>170</v>
      </c>
      <c r="C473" s="19" t="s">
        <v>865</v>
      </c>
      <c r="D473" s="49" t="s">
        <v>169</v>
      </c>
      <c r="E473" s="11">
        <v>44012</v>
      </c>
      <c r="F473" s="32">
        <f>3148070.43+0.49+0.09</f>
        <v>3148071.0100000002</v>
      </c>
      <c r="G473" s="11">
        <v>44012</v>
      </c>
      <c r="H473" s="90">
        <f t="shared" si="27"/>
        <v>0</v>
      </c>
      <c r="I473" s="90">
        <f t="shared" si="28"/>
        <v>3148071.0100000002</v>
      </c>
      <c r="J473" s="118" t="str">
        <f t="shared" si="29"/>
        <v>ATRASADO</v>
      </c>
    </row>
    <row r="474" spans="2:10">
      <c r="B474" s="13" t="s">
        <v>170</v>
      </c>
      <c r="C474" s="19" t="s">
        <v>872</v>
      </c>
      <c r="D474" s="49" t="s">
        <v>169</v>
      </c>
      <c r="E474" s="11">
        <v>44043</v>
      </c>
      <c r="F474" s="32">
        <f>5123493.62-138796.68-4949.02-44460</f>
        <v>4935287.9200000009</v>
      </c>
      <c r="G474" s="11">
        <v>44043</v>
      </c>
      <c r="H474" s="90">
        <f t="shared" si="27"/>
        <v>0</v>
      </c>
      <c r="I474" s="90">
        <f t="shared" si="28"/>
        <v>4935287.9200000009</v>
      </c>
      <c r="J474" s="118" t="str">
        <f t="shared" si="29"/>
        <v>ATRASADO</v>
      </c>
    </row>
    <row r="475" spans="2:10" s="14" customFormat="1">
      <c r="B475" s="13" t="s">
        <v>170</v>
      </c>
      <c r="C475" s="19" t="s">
        <v>938</v>
      </c>
      <c r="D475" s="49" t="s">
        <v>169</v>
      </c>
      <c r="E475" s="11" t="s">
        <v>920</v>
      </c>
      <c r="F475" s="32">
        <f>4131568.31-3250412.63</f>
        <v>881155.68000000017</v>
      </c>
      <c r="G475" s="11" t="s">
        <v>901</v>
      </c>
      <c r="H475" s="90">
        <f t="shared" si="27"/>
        <v>0</v>
      </c>
      <c r="I475" s="90">
        <f t="shared" si="28"/>
        <v>881155.68000000017</v>
      </c>
      <c r="J475" s="118" t="str">
        <f t="shared" si="29"/>
        <v>ATRASADO</v>
      </c>
    </row>
    <row r="476" spans="2:10" s="14" customFormat="1">
      <c r="B476" s="13" t="s">
        <v>170</v>
      </c>
      <c r="C476" s="19" t="s">
        <v>943</v>
      </c>
      <c r="D476" s="49" t="s">
        <v>169</v>
      </c>
      <c r="E476" s="11" t="s">
        <v>942</v>
      </c>
      <c r="F476" s="32">
        <f>3912704.16-3463844.09</f>
        <v>448860.0700000003</v>
      </c>
      <c r="G476" s="11" t="s">
        <v>942</v>
      </c>
      <c r="H476" s="90">
        <f t="shared" si="27"/>
        <v>0</v>
      </c>
      <c r="I476" s="90">
        <f t="shared" si="28"/>
        <v>448860.0700000003</v>
      </c>
      <c r="J476" s="118" t="str">
        <f t="shared" si="29"/>
        <v>ATRASADO</v>
      </c>
    </row>
    <row r="477" spans="2:10" s="14" customFormat="1">
      <c r="B477" s="13" t="s">
        <v>170</v>
      </c>
      <c r="C477" s="19" t="s">
        <v>973</v>
      </c>
      <c r="D477" s="49" t="s">
        <v>169</v>
      </c>
      <c r="E477" s="11" t="s">
        <v>972</v>
      </c>
      <c r="F477" s="32">
        <f>5674823.24-5543047.45</f>
        <v>131775.79000000004</v>
      </c>
      <c r="G477" s="11" t="s">
        <v>972</v>
      </c>
      <c r="H477" s="90">
        <f t="shared" si="27"/>
        <v>0</v>
      </c>
      <c r="I477" s="90">
        <f t="shared" si="28"/>
        <v>131775.79000000004</v>
      </c>
      <c r="J477" s="118" t="str">
        <f t="shared" si="29"/>
        <v>ATRASADO</v>
      </c>
    </row>
    <row r="478" spans="2:10" s="14" customFormat="1">
      <c r="B478" s="13" t="s">
        <v>170</v>
      </c>
      <c r="C478" s="19" t="s">
        <v>1047</v>
      </c>
      <c r="D478" s="49" t="s">
        <v>169</v>
      </c>
      <c r="E478" s="11" t="s">
        <v>1044</v>
      </c>
      <c r="F478" s="32">
        <v>5433033.8700000001</v>
      </c>
      <c r="G478" s="11" t="s">
        <v>1044</v>
      </c>
      <c r="H478" s="90">
        <f t="shared" si="27"/>
        <v>0</v>
      </c>
      <c r="I478" s="90">
        <f t="shared" si="28"/>
        <v>5433033.8700000001</v>
      </c>
      <c r="J478" s="118" t="str">
        <f t="shared" si="29"/>
        <v>ATRASADO</v>
      </c>
    </row>
    <row r="479" spans="2:10">
      <c r="B479" s="13" t="s">
        <v>170</v>
      </c>
      <c r="C479" s="19" t="s">
        <v>438</v>
      </c>
      <c r="D479" s="49" t="s">
        <v>169</v>
      </c>
      <c r="E479" s="11">
        <v>41137</v>
      </c>
      <c r="F479" s="32">
        <f>93977629.32-32824180.22</f>
        <v>61153449.099999994</v>
      </c>
      <c r="G479" s="11">
        <v>41137</v>
      </c>
      <c r="H479" s="90">
        <f t="shared" si="27"/>
        <v>0</v>
      </c>
      <c r="I479" s="90">
        <f t="shared" si="28"/>
        <v>61153449.099999994</v>
      </c>
      <c r="J479" s="118" t="str">
        <f t="shared" si="29"/>
        <v>ATRASADO</v>
      </c>
    </row>
    <row r="480" spans="2:10">
      <c r="B480" s="13" t="s">
        <v>170</v>
      </c>
      <c r="C480" s="19" t="s">
        <v>438</v>
      </c>
      <c r="D480" s="49" t="s">
        <v>169</v>
      </c>
      <c r="E480" s="11">
        <v>39691</v>
      </c>
      <c r="F480" s="32">
        <v>16850933</v>
      </c>
      <c r="G480" s="11">
        <v>39691</v>
      </c>
      <c r="H480" s="90">
        <f t="shared" si="27"/>
        <v>0</v>
      </c>
      <c r="I480" s="90">
        <f t="shared" si="28"/>
        <v>16850933</v>
      </c>
      <c r="J480" s="118" t="str">
        <f t="shared" si="29"/>
        <v>ATRASADO</v>
      </c>
    </row>
    <row r="481" spans="2:10">
      <c r="B481" s="13"/>
      <c r="C481" s="19"/>
      <c r="D481" s="49"/>
      <c r="E481" s="11"/>
      <c r="F481" s="32"/>
      <c r="G481" s="11"/>
    </row>
    <row r="482" spans="2:10" ht="24.75">
      <c r="B482" s="13" t="s">
        <v>652</v>
      </c>
      <c r="C482" s="19" t="s">
        <v>164</v>
      </c>
      <c r="D482" s="28" t="s">
        <v>660</v>
      </c>
      <c r="E482" s="29">
        <v>43489</v>
      </c>
      <c r="F482" s="32">
        <v>300000</v>
      </c>
      <c r="G482" s="29">
        <v>43489</v>
      </c>
      <c r="H482" s="90">
        <f>IF(F482&gt;0,0,"")</f>
        <v>0</v>
      </c>
      <c r="I482" s="90">
        <f>IF(H482=0,F482,"")</f>
        <v>300000</v>
      </c>
      <c r="J482" s="118" t="str">
        <f>IF(I482&gt;0,"ATRASADO","")</f>
        <v>ATRASADO</v>
      </c>
    </row>
    <row r="483" spans="2:10" ht="24.75">
      <c r="B483" s="13" t="s">
        <v>652</v>
      </c>
      <c r="C483" s="19" t="s">
        <v>164</v>
      </c>
      <c r="D483" s="28" t="s">
        <v>675</v>
      </c>
      <c r="E483" s="29">
        <v>43489</v>
      </c>
      <c r="F483" s="32">
        <v>103440</v>
      </c>
      <c r="G483" s="29">
        <v>43489</v>
      </c>
      <c r="H483" s="90">
        <f>IF(F483&gt;0,0,"")</f>
        <v>0</v>
      </c>
      <c r="I483" s="90">
        <f>IF(H483=0,F483,"")</f>
        <v>103440</v>
      </c>
      <c r="J483" s="118" t="str">
        <f>IF(I483&gt;0,"ATRASADO","")</f>
        <v>ATRASADO</v>
      </c>
    </row>
    <row r="484" spans="2:10">
      <c r="B484" s="13"/>
      <c r="C484" s="19"/>
      <c r="D484" s="69"/>
      <c r="E484" s="29"/>
      <c r="F484" s="32"/>
      <c r="G484" s="29"/>
    </row>
    <row r="485" spans="2:10">
      <c r="B485" s="13" t="s">
        <v>38</v>
      </c>
      <c r="C485" s="19" t="s">
        <v>21</v>
      </c>
      <c r="D485" s="16" t="s">
        <v>47</v>
      </c>
      <c r="E485" s="10">
        <v>41212</v>
      </c>
      <c r="F485" s="32">
        <v>12888.88</v>
      </c>
      <c r="G485" s="10">
        <v>41212</v>
      </c>
      <c r="H485" s="90">
        <f t="shared" ref="H485:H498" si="30">IF(F485&gt;0,0,"")</f>
        <v>0</v>
      </c>
      <c r="I485" s="90">
        <f t="shared" ref="I485:I498" si="31">IF(H485=0,F485,"")</f>
        <v>12888.88</v>
      </c>
      <c r="J485" s="118" t="str">
        <f t="shared" ref="J485:J498" si="32">IF(I485&gt;0,"ATRASADO","")</f>
        <v>ATRASADO</v>
      </c>
    </row>
    <row r="486" spans="2:10">
      <c r="B486" s="13" t="s">
        <v>38</v>
      </c>
      <c r="C486" s="19" t="s">
        <v>21</v>
      </c>
      <c r="D486" s="16" t="s">
        <v>37</v>
      </c>
      <c r="E486" s="10">
        <v>41242</v>
      </c>
      <c r="F486" s="32">
        <v>12888.88</v>
      </c>
      <c r="G486" s="10">
        <v>41242</v>
      </c>
      <c r="H486" s="90">
        <f t="shared" si="30"/>
        <v>0</v>
      </c>
      <c r="I486" s="90">
        <f t="shared" si="31"/>
        <v>12888.88</v>
      </c>
      <c r="J486" s="118" t="str">
        <f t="shared" si="32"/>
        <v>ATRASADO</v>
      </c>
    </row>
    <row r="487" spans="2:10">
      <c r="B487" s="13" t="s">
        <v>38</v>
      </c>
      <c r="C487" s="19" t="s">
        <v>21</v>
      </c>
      <c r="D487" s="16" t="s">
        <v>39</v>
      </c>
      <c r="E487" s="10">
        <v>41272</v>
      </c>
      <c r="F487" s="32">
        <v>12888.88</v>
      </c>
      <c r="G487" s="10">
        <v>41272</v>
      </c>
      <c r="H487" s="90">
        <f t="shared" si="30"/>
        <v>0</v>
      </c>
      <c r="I487" s="90">
        <f t="shared" si="31"/>
        <v>12888.88</v>
      </c>
      <c r="J487" s="118" t="str">
        <f t="shared" si="32"/>
        <v>ATRASADO</v>
      </c>
    </row>
    <row r="488" spans="2:10">
      <c r="B488" s="13" t="s">
        <v>38</v>
      </c>
      <c r="C488" s="19" t="s">
        <v>21</v>
      </c>
      <c r="D488" s="16" t="s">
        <v>40</v>
      </c>
      <c r="E488" s="10">
        <v>41305</v>
      </c>
      <c r="F488" s="32">
        <v>12888.88</v>
      </c>
      <c r="G488" s="10">
        <v>41305</v>
      </c>
      <c r="H488" s="90">
        <f t="shared" si="30"/>
        <v>0</v>
      </c>
      <c r="I488" s="90">
        <f t="shared" si="31"/>
        <v>12888.88</v>
      </c>
      <c r="J488" s="118" t="str">
        <f t="shared" si="32"/>
        <v>ATRASADO</v>
      </c>
    </row>
    <row r="489" spans="2:10">
      <c r="B489" s="13" t="s">
        <v>38</v>
      </c>
      <c r="C489" s="19" t="s">
        <v>21</v>
      </c>
      <c r="D489" s="16" t="s">
        <v>41</v>
      </c>
      <c r="E489" s="10">
        <v>41333</v>
      </c>
      <c r="F489" s="32">
        <v>12888.88</v>
      </c>
      <c r="G489" s="10">
        <v>41333</v>
      </c>
      <c r="H489" s="90">
        <f t="shared" si="30"/>
        <v>0</v>
      </c>
      <c r="I489" s="90">
        <f t="shared" si="31"/>
        <v>12888.88</v>
      </c>
      <c r="J489" s="118" t="str">
        <f t="shared" si="32"/>
        <v>ATRASADO</v>
      </c>
    </row>
    <row r="490" spans="2:10">
      <c r="B490" s="13" t="s">
        <v>38</v>
      </c>
      <c r="C490" s="19" t="s">
        <v>21</v>
      </c>
      <c r="D490" s="16" t="s">
        <v>42</v>
      </c>
      <c r="E490" s="10">
        <v>41364</v>
      </c>
      <c r="F490" s="32">
        <v>12888.88</v>
      </c>
      <c r="G490" s="10">
        <v>41364</v>
      </c>
      <c r="H490" s="90">
        <f t="shared" si="30"/>
        <v>0</v>
      </c>
      <c r="I490" s="90">
        <f t="shared" si="31"/>
        <v>12888.88</v>
      </c>
      <c r="J490" s="118" t="str">
        <f t="shared" si="32"/>
        <v>ATRASADO</v>
      </c>
    </row>
    <row r="491" spans="2:10">
      <c r="B491" s="13" t="s">
        <v>38</v>
      </c>
      <c r="C491" s="19" t="s">
        <v>21</v>
      </c>
      <c r="D491" s="16" t="s">
        <v>43</v>
      </c>
      <c r="E491" s="10">
        <v>41394</v>
      </c>
      <c r="F491" s="32">
        <v>12888.88</v>
      </c>
      <c r="G491" s="10">
        <v>41394</v>
      </c>
      <c r="H491" s="90">
        <f t="shared" si="30"/>
        <v>0</v>
      </c>
      <c r="I491" s="90">
        <f t="shared" si="31"/>
        <v>12888.88</v>
      </c>
      <c r="J491" s="118" t="str">
        <f t="shared" si="32"/>
        <v>ATRASADO</v>
      </c>
    </row>
    <row r="492" spans="2:10">
      <c r="B492" s="13" t="s">
        <v>38</v>
      </c>
      <c r="C492" s="19" t="s">
        <v>21</v>
      </c>
      <c r="D492" s="16" t="s">
        <v>44</v>
      </c>
      <c r="E492" s="10">
        <v>41423</v>
      </c>
      <c r="F492" s="32">
        <v>12888.88</v>
      </c>
      <c r="G492" s="10">
        <v>41423</v>
      </c>
      <c r="H492" s="90">
        <f t="shared" si="30"/>
        <v>0</v>
      </c>
      <c r="I492" s="90">
        <f t="shared" si="31"/>
        <v>12888.88</v>
      </c>
      <c r="J492" s="118" t="str">
        <f t="shared" si="32"/>
        <v>ATRASADO</v>
      </c>
    </row>
    <row r="493" spans="2:10">
      <c r="B493" s="13" t="s">
        <v>38</v>
      </c>
      <c r="C493" s="19" t="s">
        <v>21</v>
      </c>
      <c r="D493" s="16" t="s">
        <v>30</v>
      </c>
      <c r="E493" s="10">
        <v>41454</v>
      </c>
      <c r="F493" s="32">
        <v>12888.88</v>
      </c>
      <c r="G493" s="10">
        <v>41454</v>
      </c>
      <c r="H493" s="90">
        <f t="shared" si="30"/>
        <v>0</v>
      </c>
      <c r="I493" s="90">
        <f t="shared" si="31"/>
        <v>12888.88</v>
      </c>
      <c r="J493" s="118" t="str">
        <f t="shared" si="32"/>
        <v>ATRASADO</v>
      </c>
    </row>
    <row r="494" spans="2:10">
      <c r="B494" s="13" t="s">
        <v>38</v>
      </c>
      <c r="C494" s="19" t="s">
        <v>21</v>
      </c>
      <c r="D494" s="16" t="s">
        <v>32</v>
      </c>
      <c r="E494" s="10">
        <v>41484</v>
      </c>
      <c r="F494" s="32">
        <v>12888.88</v>
      </c>
      <c r="G494" s="10">
        <v>41484</v>
      </c>
      <c r="H494" s="90">
        <f t="shared" si="30"/>
        <v>0</v>
      </c>
      <c r="I494" s="90">
        <f t="shared" si="31"/>
        <v>12888.88</v>
      </c>
      <c r="J494" s="118" t="str">
        <f t="shared" si="32"/>
        <v>ATRASADO</v>
      </c>
    </row>
    <row r="495" spans="2:10">
      <c r="B495" s="13" t="s">
        <v>38</v>
      </c>
      <c r="C495" s="19" t="s">
        <v>21</v>
      </c>
      <c r="D495" s="16" t="s">
        <v>33</v>
      </c>
      <c r="E495" s="10">
        <v>41501</v>
      </c>
      <c r="F495" s="32">
        <v>12888.88</v>
      </c>
      <c r="G495" s="10">
        <v>41501</v>
      </c>
      <c r="H495" s="90">
        <f t="shared" si="30"/>
        <v>0</v>
      </c>
      <c r="I495" s="90">
        <f t="shared" si="31"/>
        <v>12888.88</v>
      </c>
      <c r="J495" s="118" t="str">
        <f t="shared" si="32"/>
        <v>ATRASADO</v>
      </c>
    </row>
    <row r="496" spans="2:10">
      <c r="B496" s="13" t="s">
        <v>38</v>
      </c>
      <c r="C496" s="19" t="s">
        <v>21</v>
      </c>
      <c r="D496" s="16" t="s">
        <v>45</v>
      </c>
      <c r="E496" s="10">
        <v>41547</v>
      </c>
      <c r="F496" s="32">
        <v>12888.88</v>
      </c>
      <c r="G496" s="10">
        <v>41547</v>
      </c>
      <c r="H496" s="90">
        <f t="shared" si="30"/>
        <v>0</v>
      </c>
      <c r="I496" s="90">
        <f t="shared" si="31"/>
        <v>12888.88</v>
      </c>
      <c r="J496" s="118" t="str">
        <f t="shared" si="32"/>
        <v>ATRASADO</v>
      </c>
    </row>
    <row r="497" spans="2:10">
      <c r="B497" s="13" t="s">
        <v>38</v>
      </c>
      <c r="C497" s="19" t="s">
        <v>21</v>
      </c>
      <c r="D497" s="16" t="s">
        <v>46</v>
      </c>
      <c r="E497" s="10">
        <v>41577</v>
      </c>
      <c r="F497" s="32">
        <v>12888.88</v>
      </c>
      <c r="G497" s="10">
        <v>41577</v>
      </c>
      <c r="H497" s="90">
        <f t="shared" si="30"/>
        <v>0</v>
      </c>
      <c r="I497" s="90">
        <f t="shared" si="31"/>
        <v>12888.88</v>
      </c>
      <c r="J497" s="118" t="str">
        <f t="shared" si="32"/>
        <v>ATRASADO</v>
      </c>
    </row>
    <row r="498" spans="2:10">
      <c r="B498" s="13" t="s">
        <v>38</v>
      </c>
      <c r="C498" s="19" t="s">
        <v>21</v>
      </c>
      <c r="D498" s="16" t="s">
        <v>442</v>
      </c>
      <c r="E498" s="10">
        <v>40815</v>
      </c>
      <c r="F498" s="32">
        <v>103111.03999999999</v>
      </c>
      <c r="G498" s="10">
        <v>40815</v>
      </c>
      <c r="H498" s="90">
        <f t="shared" si="30"/>
        <v>0</v>
      </c>
      <c r="I498" s="90">
        <f t="shared" si="31"/>
        <v>103111.03999999999</v>
      </c>
      <c r="J498" s="118" t="str">
        <f t="shared" si="32"/>
        <v>ATRASADO</v>
      </c>
    </row>
    <row r="499" spans="2:10">
      <c r="B499" s="13"/>
      <c r="C499" s="19"/>
      <c r="D499" s="16"/>
      <c r="E499" s="10"/>
      <c r="F499" s="32"/>
      <c r="G499" s="10"/>
    </row>
    <row r="500" spans="2:10">
      <c r="B500" s="13" t="s">
        <v>147</v>
      </c>
      <c r="C500" s="19" t="s">
        <v>468</v>
      </c>
      <c r="D500" s="16">
        <v>6315</v>
      </c>
      <c r="E500" s="29">
        <v>41243</v>
      </c>
      <c r="F500" s="32">
        <v>29064.959999999999</v>
      </c>
      <c r="G500" s="29">
        <v>41243</v>
      </c>
      <c r="H500" s="90">
        <f>IF(F500&gt;0,0,"")</f>
        <v>0</v>
      </c>
      <c r="I500" s="90">
        <f>IF(H500=0,F500,"")</f>
        <v>29064.959999999999</v>
      </c>
      <c r="J500" s="118" t="str">
        <f>IF(I500&gt;0,"ATRASADO","")</f>
        <v>ATRASADO</v>
      </c>
    </row>
    <row r="501" spans="2:10">
      <c r="B501" s="13" t="s">
        <v>147</v>
      </c>
      <c r="C501" s="19" t="s">
        <v>468</v>
      </c>
      <c r="D501" s="16">
        <v>1500002149</v>
      </c>
      <c r="E501" s="29">
        <v>42100</v>
      </c>
      <c r="F501" s="32">
        <v>9300</v>
      </c>
      <c r="G501" s="29">
        <v>42100</v>
      </c>
      <c r="H501" s="90">
        <f>IF(F501&gt;0,0,"")</f>
        <v>0</v>
      </c>
      <c r="I501" s="90">
        <f>IF(H501=0,F501,"")</f>
        <v>9300</v>
      </c>
      <c r="J501" s="118" t="str">
        <f>IF(I501&gt;0,"ATRASADO","")</f>
        <v>ATRASADO</v>
      </c>
    </row>
    <row r="502" spans="2:10">
      <c r="B502" s="13" t="s">
        <v>147</v>
      </c>
      <c r="C502" s="19" t="s">
        <v>468</v>
      </c>
      <c r="D502" s="16">
        <v>1500005568</v>
      </c>
      <c r="E502" s="29">
        <v>41733</v>
      </c>
      <c r="F502" s="32">
        <v>62829.01</v>
      </c>
      <c r="G502" s="29">
        <v>41733</v>
      </c>
      <c r="H502" s="90">
        <f>IF(F502&gt;0,0,"")</f>
        <v>0</v>
      </c>
      <c r="I502" s="90">
        <f>IF(H502=0,F502,"")</f>
        <v>62829.01</v>
      </c>
      <c r="J502" s="118" t="str">
        <f>IF(I502&gt;0,"ATRASADO","")</f>
        <v>ATRASADO</v>
      </c>
    </row>
    <row r="503" spans="2:10">
      <c r="B503" s="13" t="s">
        <v>147</v>
      </c>
      <c r="C503" s="19" t="s">
        <v>468</v>
      </c>
      <c r="D503" s="16">
        <v>1500005708</v>
      </c>
      <c r="E503" s="29">
        <v>42165</v>
      </c>
      <c r="F503" s="32">
        <v>62829.01</v>
      </c>
      <c r="G503" s="29">
        <v>42165</v>
      </c>
      <c r="H503" s="90">
        <f>IF(F503&gt;0,0,"")</f>
        <v>0</v>
      </c>
      <c r="I503" s="90">
        <f>IF(H503=0,F503,"")</f>
        <v>62829.01</v>
      </c>
      <c r="J503" s="118" t="str">
        <f>IF(I503&gt;0,"ATRASADO","")</f>
        <v>ATRASADO</v>
      </c>
    </row>
    <row r="504" spans="2:10">
      <c r="B504" s="13"/>
      <c r="C504" s="19"/>
      <c r="D504" s="16"/>
      <c r="E504" s="29"/>
      <c r="F504" s="32"/>
      <c r="G504" s="29"/>
    </row>
    <row r="505" spans="2:10">
      <c r="B505" s="13" t="s">
        <v>148</v>
      </c>
      <c r="C505" s="19" t="s">
        <v>468</v>
      </c>
      <c r="D505" s="16">
        <v>19674</v>
      </c>
      <c r="E505" s="10">
        <v>40791</v>
      </c>
      <c r="F505" s="32">
        <v>7400</v>
      </c>
      <c r="G505" s="10">
        <v>40791</v>
      </c>
      <c r="H505" s="90">
        <f>IF(F505&gt;0,0,"")</f>
        <v>0</v>
      </c>
      <c r="I505" s="90">
        <f>IF(H505=0,F505,"")</f>
        <v>7400</v>
      </c>
      <c r="J505" s="118" t="str">
        <f>IF(I505&gt;0,"ATRASADO","")</f>
        <v>ATRASADO</v>
      </c>
    </row>
    <row r="506" spans="2:10">
      <c r="B506" s="13" t="s">
        <v>148</v>
      </c>
      <c r="C506" s="19" t="s">
        <v>468</v>
      </c>
      <c r="D506" s="16">
        <v>35938</v>
      </c>
      <c r="E506" s="10">
        <v>42369</v>
      </c>
      <c r="F506" s="32">
        <v>7400</v>
      </c>
      <c r="G506" s="10">
        <v>42369</v>
      </c>
      <c r="H506" s="90">
        <f>IF(F506&gt;0,0,"")</f>
        <v>0</v>
      </c>
      <c r="I506" s="90">
        <f>IF(H506=0,F506,"")</f>
        <v>7400</v>
      </c>
      <c r="J506" s="118" t="str">
        <f>IF(I506&gt;0,"ATRASADO","")</f>
        <v>ATRASADO</v>
      </c>
    </row>
    <row r="507" spans="2:10">
      <c r="B507" s="13" t="s">
        <v>148</v>
      </c>
      <c r="C507" s="19" t="s">
        <v>468</v>
      </c>
      <c r="D507" s="16">
        <v>1500011744</v>
      </c>
      <c r="E507" s="10">
        <v>41886</v>
      </c>
      <c r="F507" s="32">
        <v>7400</v>
      </c>
      <c r="G507" s="10">
        <v>41886</v>
      </c>
      <c r="H507" s="90">
        <f>IF(F507&gt;0,0,"")</f>
        <v>0</v>
      </c>
      <c r="I507" s="90">
        <f>IF(H507=0,F507,"")</f>
        <v>7400</v>
      </c>
      <c r="J507" s="118" t="str">
        <f>IF(I507&gt;0,"ATRASADO","")</f>
        <v>ATRASADO</v>
      </c>
    </row>
    <row r="508" spans="2:10">
      <c r="B508" s="13"/>
      <c r="C508" s="19"/>
      <c r="D508" s="16"/>
      <c r="E508" s="10"/>
      <c r="F508" s="32"/>
      <c r="G508" s="10"/>
    </row>
    <row r="509" spans="2:10">
      <c r="B509" s="13" t="s">
        <v>149</v>
      </c>
      <c r="C509" s="19" t="s">
        <v>468</v>
      </c>
      <c r="D509" s="16">
        <v>1500006050</v>
      </c>
      <c r="E509" s="29">
        <v>42068</v>
      </c>
      <c r="F509" s="32">
        <v>6900</v>
      </c>
      <c r="G509" s="29">
        <v>42068</v>
      </c>
      <c r="H509" s="90">
        <f>IF(F509&gt;0,0,"")</f>
        <v>0</v>
      </c>
      <c r="I509" s="90">
        <f>IF(H509=0,F509,"")</f>
        <v>6900</v>
      </c>
      <c r="J509" s="118" t="str">
        <f>IF(I509&gt;0,"ATRASADO","")</f>
        <v>ATRASADO</v>
      </c>
    </row>
    <row r="510" spans="2:10">
      <c r="B510" s="13" t="s">
        <v>149</v>
      </c>
      <c r="C510" s="19" t="s">
        <v>468</v>
      </c>
      <c r="D510" s="21" t="s">
        <v>288</v>
      </c>
      <c r="E510" s="11">
        <v>40422</v>
      </c>
      <c r="F510" s="32">
        <v>6900</v>
      </c>
      <c r="G510" s="11">
        <v>40422</v>
      </c>
      <c r="H510" s="90">
        <f>IF(F510&gt;0,0,"")</f>
        <v>0</v>
      </c>
      <c r="I510" s="90">
        <f>IF(H510=0,F510,"")</f>
        <v>6900</v>
      </c>
      <c r="J510" s="118" t="str">
        <f>IF(I510&gt;0,"ATRASADO","")</f>
        <v>ATRASADO</v>
      </c>
    </row>
    <row r="511" spans="2:10">
      <c r="B511" s="13"/>
      <c r="C511" s="19"/>
      <c r="D511" s="21"/>
      <c r="E511" s="11"/>
      <c r="F511" s="32"/>
      <c r="G511" s="11"/>
    </row>
    <row r="512" spans="2:10">
      <c r="B512" s="13" t="s">
        <v>145</v>
      </c>
      <c r="C512" s="19" t="s">
        <v>146</v>
      </c>
      <c r="D512" s="16">
        <v>15000000051</v>
      </c>
      <c r="E512" s="10">
        <v>41744</v>
      </c>
      <c r="F512" s="32">
        <v>73183.600000000006</v>
      </c>
      <c r="G512" s="10">
        <v>41744</v>
      </c>
      <c r="H512" s="90">
        <f>IF(F512&gt;0,0,"")</f>
        <v>0</v>
      </c>
      <c r="I512" s="90">
        <f>IF(H512=0,F512,"")</f>
        <v>73183.600000000006</v>
      </c>
      <c r="J512" s="118" t="str">
        <f>IF(I512&gt;0,"ATRASADO","")</f>
        <v>ATRASADO</v>
      </c>
    </row>
    <row r="513" spans="2:10">
      <c r="B513" s="13" t="s">
        <v>145</v>
      </c>
      <c r="C513" s="19" t="s">
        <v>146</v>
      </c>
      <c r="D513" s="16">
        <v>1500001125</v>
      </c>
      <c r="E513" s="10">
        <v>41820</v>
      </c>
      <c r="F513" s="32">
        <v>44273.599999999999</v>
      </c>
      <c r="G513" s="10">
        <v>41820</v>
      </c>
      <c r="H513" s="90">
        <f>IF(F513&gt;0,0,"")</f>
        <v>0</v>
      </c>
      <c r="I513" s="90">
        <f>IF(H513=0,F513,"")</f>
        <v>44273.599999999999</v>
      </c>
      <c r="J513" s="118" t="str">
        <f>IF(I513&gt;0,"ATRASADO","")</f>
        <v>ATRASADO</v>
      </c>
    </row>
    <row r="514" spans="2:10">
      <c r="B514" s="13"/>
      <c r="C514" s="19"/>
      <c r="D514" s="17"/>
      <c r="E514" s="10"/>
      <c r="F514" s="32"/>
      <c r="G514" s="10"/>
    </row>
    <row r="515" spans="2:10">
      <c r="B515" s="99" t="s">
        <v>893</v>
      </c>
      <c r="C515" s="19" t="s">
        <v>468</v>
      </c>
      <c r="D515" s="17" t="s">
        <v>932</v>
      </c>
      <c r="E515" s="10" t="s">
        <v>1018</v>
      </c>
      <c r="F515" s="32">
        <v>47200</v>
      </c>
      <c r="G515" s="10" t="s">
        <v>1018</v>
      </c>
      <c r="H515" s="90">
        <f>IF(F515&gt;0,0,"")</f>
        <v>0</v>
      </c>
      <c r="I515" s="90">
        <f>IF(H515=0,F515,"")</f>
        <v>47200</v>
      </c>
      <c r="J515" s="118" t="str">
        <f>IF(I515&gt;0,"ATRASADO","")</f>
        <v>ATRASADO</v>
      </c>
    </row>
    <row r="516" spans="2:10">
      <c r="B516" s="99" t="s">
        <v>893</v>
      </c>
      <c r="C516" s="19" t="s">
        <v>468</v>
      </c>
      <c r="D516" s="17" t="s">
        <v>1016</v>
      </c>
      <c r="E516" s="10" t="s">
        <v>1018</v>
      </c>
      <c r="F516" s="32">
        <v>47200</v>
      </c>
      <c r="G516" s="10" t="s">
        <v>1018</v>
      </c>
      <c r="H516" s="90">
        <f>IF(F516&gt;0,0,"")</f>
        <v>0</v>
      </c>
      <c r="I516" s="90">
        <f>IF(H516=0,F516,"")</f>
        <v>47200</v>
      </c>
      <c r="J516" s="118" t="str">
        <f>IF(I516&gt;0,"ATRASADO","")</f>
        <v>ATRASADO</v>
      </c>
    </row>
    <row r="517" spans="2:10">
      <c r="B517" s="99" t="s">
        <v>893</v>
      </c>
      <c r="C517" s="19" t="s">
        <v>468</v>
      </c>
      <c r="D517" s="17" t="s">
        <v>1017</v>
      </c>
      <c r="E517" s="10" t="s">
        <v>1018</v>
      </c>
      <c r="F517" s="32">
        <v>47200</v>
      </c>
      <c r="G517" s="10" t="s">
        <v>1018</v>
      </c>
      <c r="H517" s="90">
        <f>IF(F517&gt;0,0,"")</f>
        <v>0</v>
      </c>
      <c r="I517" s="90">
        <f>IF(H517=0,F517,"")</f>
        <v>47200</v>
      </c>
      <c r="J517" s="118" t="str">
        <f>IF(I517&gt;0,"ATRASADO","")</f>
        <v>ATRASADO</v>
      </c>
    </row>
    <row r="518" spans="2:10">
      <c r="B518" s="13"/>
      <c r="C518" s="19"/>
      <c r="D518" s="17"/>
      <c r="E518" s="10"/>
      <c r="F518" s="32"/>
      <c r="G518" s="10"/>
    </row>
    <row r="519" spans="2:10">
      <c r="B519" s="13" t="s">
        <v>987</v>
      </c>
      <c r="C519" s="19" t="s">
        <v>1008</v>
      </c>
      <c r="D519" s="17" t="s">
        <v>1019</v>
      </c>
      <c r="E519" s="10">
        <v>44294</v>
      </c>
      <c r="F519" s="32">
        <v>822930.35</v>
      </c>
      <c r="G519" s="10">
        <v>44294</v>
      </c>
      <c r="H519" s="90">
        <f>IF(F519&gt;0,0,"")</f>
        <v>0</v>
      </c>
      <c r="I519" s="90">
        <f>IF(H519=0,F519,"")</f>
        <v>822930.35</v>
      </c>
      <c r="J519" s="118" t="str">
        <f>IF(I519&gt;0,"ATRASADO","")</f>
        <v>ATRASADO</v>
      </c>
    </row>
    <row r="520" spans="2:10">
      <c r="B520" s="13"/>
      <c r="C520" s="19"/>
      <c r="D520" s="17"/>
      <c r="E520" s="10"/>
      <c r="F520" s="32"/>
      <c r="G520" s="10"/>
    </row>
    <row r="521" spans="2:10">
      <c r="B521" s="13" t="s">
        <v>439</v>
      </c>
      <c r="C521" s="19" t="s">
        <v>680</v>
      </c>
      <c r="D521" s="12" t="s">
        <v>166</v>
      </c>
      <c r="E521" s="10" t="s">
        <v>1043</v>
      </c>
      <c r="F521" s="115">
        <v>359737394.93000001</v>
      </c>
      <c r="G521" s="10" t="s">
        <v>1043</v>
      </c>
      <c r="H521" s="90">
        <f>IF(F521&gt;0,0,"")</f>
        <v>0</v>
      </c>
      <c r="I521" s="90">
        <f>IF(H521=0,F521,"")</f>
        <v>359737394.93000001</v>
      </c>
      <c r="J521" s="118" t="str">
        <f>IF(I521&gt;0,"ATRASADO","")</f>
        <v>ATRASADO</v>
      </c>
    </row>
    <row r="522" spans="2:10">
      <c r="B522" s="13"/>
      <c r="C522" s="19"/>
      <c r="D522" s="113"/>
      <c r="E522" s="94"/>
      <c r="F522" s="90"/>
      <c r="G522" s="68"/>
    </row>
    <row r="523" spans="2:10">
      <c r="B523" s="13" t="s">
        <v>994</v>
      </c>
      <c r="C523" s="19" t="s">
        <v>468</v>
      </c>
      <c r="D523" s="17" t="s">
        <v>1020</v>
      </c>
      <c r="E523" s="112">
        <v>44294</v>
      </c>
      <c r="F523" s="90">
        <v>23600</v>
      </c>
      <c r="G523" s="112">
        <v>44294</v>
      </c>
      <c r="H523" s="90">
        <f>IF(F523&gt;0,0,"")</f>
        <v>0</v>
      </c>
      <c r="I523" s="90">
        <f>IF(H523=0,F523,"")</f>
        <v>23600</v>
      </c>
      <c r="J523" s="118" t="str">
        <f>IF(I523&gt;0,"ATRASADO","")</f>
        <v>ATRASADO</v>
      </c>
    </row>
    <row r="524" spans="2:10">
      <c r="B524" s="13" t="s">
        <v>994</v>
      </c>
      <c r="C524" s="19" t="s">
        <v>468</v>
      </c>
      <c r="D524" s="17" t="s">
        <v>1021</v>
      </c>
      <c r="E524" s="112">
        <v>44294</v>
      </c>
      <c r="F524" s="90">
        <v>23600</v>
      </c>
      <c r="G524" s="112">
        <v>44294</v>
      </c>
      <c r="H524" s="90">
        <f>IF(F524&gt;0,0,"")</f>
        <v>0</v>
      </c>
      <c r="I524" s="90">
        <f>IF(H524=0,F524,"")</f>
        <v>23600</v>
      </c>
      <c r="J524" s="118" t="str">
        <f>IF(I524&gt;0,"ATRASADO","")</f>
        <v>ATRASADO</v>
      </c>
    </row>
    <row r="525" spans="2:10">
      <c r="B525" s="13" t="s">
        <v>994</v>
      </c>
      <c r="C525" s="19" t="s">
        <v>468</v>
      </c>
      <c r="D525" s="17" t="s">
        <v>1022</v>
      </c>
      <c r="E525" s="112">
        <v>44294</v>
      </c>
      <c r="F525" s="90">
        <v>23600</v>
      </c>
      <c r="G525" s="112">
        <v>44294</v>
      </c>
      <c r="H525" s="90">
        <f>IF(F525&gt;0,0,"")</f>
        <v>0</v>
      </c>
      <c r="I525" s="90">
        <f>IF(H525=0,F525,"")</f>
        <v>23600</v>
      </c>
      <c r="J525" s="118" t="str">
        <f>IF(I525&gt;0,"ATRASADO","")</f>
        <v>ATRASADO</v>
      </c>
    </row>
    <row r="526" spans="2:10">
      <c r="B526" s="13" t="s">
        <v>994</v>
      </c>
      <c r="C526" s="19" t="s">
        <v>468</v>
      </c>
      <c r="D526" s="17" t="s">
        <v>1023</v>
      </c>
      <c r="E526" s="112">
        <v>44294</v>
      </c>
      <c r="F526" s="90">
        <v>23600</v>
      </c>
      <c r="G526" s="112">
        <v>44294</v>
      </c>
      <c r="H526" s="90">
        <f>IF(F526&gt;0,0,"")</f>
        <v>0</v>
      </c>
      <c r="I526" s="90">
        <f>IF(H526=0,F526,"")</f>
        <v>23600</v>
      </c>
      <c r="J526" s="118" t="str">
        <f>IF(I526&gt;0,"ATRASADO","")</f>
        <v>ATRASADO</v>
      </c>
    </row>
    <row r="527" spans="2:10">
      <c r="B527" s="13"/>
      <c r="C527" s="19"/>
      <c r="D527" s="113"/>
      <c r="E527" s="94"/>
      <c r="F527" s="90"/>
      <c r="G527" s="68"/>
    </row>
    <row r="528" spans="2:10">
      <c r="B528" s="13" t="s">
        <v>647</v>
      </c>
      <c r="C528" s="19" t="s">
        <v>648</v>
      </c>
      <c r="D528" s="17" t="s">
        <v>593</v>
      </c>
      <c r="E528" s="10">
        <v>43257</v>
      </c>
      <c r="F528" s="32">
        <v>74340</v>
      </c>
      <c r="G528" s="10">
        <v>43257</v>
      </c>
      <c r="H528" s="90">
        <f>IF(F528&gt;0,0,"")</f>
        <v>0</v>
      </c>
      <c r="I528" s="90">
        <f>IF(H528=0,F528,"")</f>
        <v>74340</v>
      </c>
      <c r="J528" s="118" t="str">
        <f>IF(I528&gt;0,"ATRASADO","")</f>
        <v>ATRASADO</v>
      </c>
    </row>
    <row r="529" spans="2:10">
      <c r="B529" s="13"/>
      <c r="C529" s="19"/>
      <c r="D529" s="16"/>
      <c r="E529" s="10"/>
      <c r="F529" s="32"/>
      <c r="G529" s="10"/>
    </row>
    <row r="530" spans="2:10">
      <c r="B530" s="13" t="s">
        <v>992</v>
      </c>
      <c r="C530" s="19" t="s">
        <v>468</v>
      </c>
      <c r="D530" s="17" t="s">
        <v>934</v>
      </c>
      <c r="E530" s="10">
        <v>44263</v>
      </c>
      <c r="F530" s="32">
        <v>136360.79999999999</v>
      </c>
      <c r="G530" s="10">
        <v>44263</v>
      </c>
      <c r="H530" s="90">
        <f>IF(F530&gt;0,0,"")</f>
        <v>0</v>
      </c>
      <c r="I530" s="90">
        <f>IF(H530=0,F530,"")</f>
        <v>136360.79999999999</v>
      </c>
      <c r="J530" s="118" t="str">
        <f>IF(I530&gt;0,"ATRASADO","")</f>
        <v>ATRASADO</v>
      </c>
    </row>
    <row r="531" spans="2:10">
      <c r="B531" s="13"/>
      <c r="C531" s="19"/>
      <c r="D531" s="16"/>
      <c r="E531" s="10"/>
      <c r="F531" s="32"/>
      <c r="G531" s="10"/>
    </row>
    <row r="532" spans="2:10">
      <c r="B532" s="13" t="s">
        <v>989</v>
      </c>
      <c r="C532" s="19" t="s">
        <v>468</v>
      </c>
      <c r="D532" s="17" t="s">
        <v>966</v>
      </c>
      <c r="E532" s="10">
        <v>44294</v>
      </c>
      <c r="F532" s="32">
        <v>29500</v>
      </c>
      <c r="G532" s="10">
        <v>44294</v>
      </c>
      <c r="H532" s="90">
        <f>IF(F532&gt;0,0,"")</f>
        <v>0</v>
      </c>
      <c r="I532" s="90">
        <f>IF(H532=0,F532,"")</f>
        <v>29500</v>
      </c>
      <c r="J532" s="118" t="str">
        <f>IF(I532&gt;0,"ATRASADO","")</f>
        <v>ATRASADO</v>
      </c>
    </row>
    <row r="533" spans="2:10">
      <c r="B533" s="13"/>
      <c r="C533" s="19"/>
      <c r="D533" s="16"/>
      <c r="E533" s="10"/>
      <c r="F533" s="32"/>
      <c r="G533" s="10"/>
    </row>
    <row r="534" spans="2:10">
      <c r="B534" s="13" t="s">
        <v>963</v>
      </c>
      <c r="C534" s="19" t="s">
        <v>648</v>
      </c>
      <c r="D534" s="17" t="s">
        <v>592</v>
      </c>
      <c r="E534" s="10" t="s">
        <v>964</v>
      </c>
      <c r="F534" s="32">
        <v>28005.47</v>
      </c>
      <c r="G534" s="10" t="s">
        <v>964</v>
      </c>
      <c r="H534" s="90">
        <f>IF(F534&gt;0,0,"")</f>
        <v>0</v>
      </c>
      <c r="I534" s="90">
        <f>IF(H534=0,F534,"")</f>
        <v>28005.47</v>
      </c>
      <c r="J534" s="118" t="str">
        <f>IF(I534&gt;0,"ATRASADO","")</f>
        <v>ATRASADO</v>
      </c>
    </row>
    <row r="535" spans="2:10" ht="16.5" customHeight="1">
      <c r="B535" s="13"/>
      <c r="C535" s="19"/>
      <c r="D535" s="16"/>
      <c r="E535" s="10"/>
      <c r="F535" s="32"/>
      <c r="G535" s="10"/>
    </row>
    <row r="536" spans="2:10">
      <c r="B536" s="107" t="s">
        <v>915</v>
      </c>
      <c r="C536" s="19" t="s">
        <v>468</v>
      </c>
      <c r="D536" s="17" t="s">
        <v>965</v>
      </c>
      <c r="E536" s="10">
        <v>44323</v>
      </c>
      <c r="F536" s="32">
        <v>59000</v>
      </c>
      <c r="G536" s="10">
        <v>44323</v>
      </c>
      <c r="H536" s="90">
        <f>IF(F536&gt;0,0,"")</f>
        <v>0</v>
      </c>
      <c r="I536" s="90">
        <f>IF(H536=0,F536,"")</f>
        <v>59000</v>
      </c>
      <c r="J536" s="118" t="str">
        <f>IF(I536&gt;0,"ATRASADO","")</f>
        <v>ATRASADO</v>
      </c>
    </row>
    <row r="537" spans="2:10">
      <c r="B537" s="107" t="s">
        <v>915</v>
      </c>
      <c r="C537" s="19" t="s">
        <v>468</v>
      </c>
      <c r="D537" s="17" t="s">
        <v>1024</v>
      </c>
      <c r="E537" s="10" t="s">
        <v>1007</v>
      </c>
      <c r="F537" s="32">
        <v>59000</v>
      </c>
      <c r="G537" s="10" t="s">
        <v>1007</v>
      </c>
      <c r="H537" s="90">
        <f>IF(F537&gt;0,0,"")</f>
        <v>0</v>
      </c>
      <c r="I537" s="90">
        <f>IF(H537=0,F537,"")</f>
        <v>59000</v>
      </c>
      <c r="J537" s="118" t="str">
        <f>IF(I537&gt;0,"ATRASADO","")</f>
        <v>ATRASADO</v>
      </c>
    </row>
    <row r="538" spans="2:10">
      <c r="B538" s="13"/>
      <c r="C538" s="19"/>
      <c r="D538" s="16"/>
      <c r="E538" s="10"/>
      <c r="F538" s="32"/>
      <c r="G538" s="10"/>
    </row>
    <row r="539" spans="2:10">
      <c r="B539" s="13" t="s">
        <v>730</v>
      </c>
      <c r="C539" s="19" t="s">
        <v>570</v>
      </c>
      <c r="D539" s="17" t="s">
        <v>667</v>
      </c>
      <c r="E539" s="10">
        <v>43525</v>
      </c>
      <c r="F539" s="32">
        <v>144081.85999999999</v>
      </c>
      <c r="G539" s="10">
        <v>43525</v>
      </c>
      <c r="H539" s="90">
        <f>IF(F539&gt;0,0,"")</f>
        <v>0</v>
      </c>
      <c r="I539" s="90">
        <f>IF(H539=0,F539,"")</f>
        <v>144081.85999999999</v>
      </c>
      <c r="J539" s="118" t="str">
        <f>IF(I539&gt;0,"ATRASADO","")</f>
        <v>ATRASADO</v>
      </c>
    </row>
    <row r="540" spans="2:10">
      <c r="B540" s="13"/>
      <c r="C540" s="19"/>
      <c r="D540" s="17"/>
      <c r="E540" s="10"/>
      <c r="F540" s="32"/>
      <c r="G540" s="10"/>
    </row>
    <row r="541" spans="2:10">
      <c r="B541" s="13" t="s">
        <v>12</v>
      </c>
      <c r="C541" s="19" t="s">
        <v>7</v>
      </c>
      <c r="D541" s="16">
        <v>1500000730</v>
      </c>
      <c r="E541" s="10">
        <v>41677</v>
      </c>
      <c r="F541" s="32">
        <v>475000</v>
      </c>
      <c r="G541" s="10">
        <v>41677</v>
      </c>
      <c r="H541" s="90">
        <f>IF(F541&gt;0,0,"")</f>
        <v>0</v>
      </c>
      <c r="I541" s="90">
        <f>IF(H541=0,F541,"")</f>
        <v>475000</v>
      </c>
      <c r="J541" s="118" t="str">
        <f>IF(I541&gt;0,"ATRASADO","")</f>
        <v>ATRASADO</v>
      </c>
    </row>
    <row r="542" spans="2:10">
      <c r="B542" s="13"/>
      <c r="C542" s="19"/>
      <c r="D542" s="72"/>
      <c r="E542" s="10"/>
      <c r="F542" s="32"/>
      <c r="G542" s="10"/>
    </row>
    <row r="543" spans="2:10">
      <c r="B543" s="13" t="s">
        <v>557</v>
      </c>
      <c r="C543" s="19" t="s">
        <v>553</v>
      </c>
      <c r="D543" s="72" t="s">
        <v>369</v>
      </c>
      <c r="E543" s="10">
        <v>41981</v>
      </c>
      <c r="F543" s="32">
        <v>32804</v>
      </c>
      <c r="G543" s="36">
        <v>41981</v>
      </c>
      <c r="H543" s="90">
        <f>IF(F543&gt;0,0,"")</f>
        <v>0</v>
      </c>
      <c r="I543" s="90">
        <f>IF(H543=0,F543,"")</f>
        <v>32804</v>
      </c>
      <c r="J543" s="118" t="str">
        <f>IF(I543&gt;0,"ATRASADO","")</f>
        <v>ATRASADO</v>
      </c>
    </row>
    <row r="544" spans="2:10">
      <c r="B544" s="13"/>
      <c r="C544" s="19"/>
      <c r="D544" s="17"/>
      <c r="E544" s="10"/>
      <c r="F544" s="32"/>
      <c r="G544" s="10"/>
    </row>
    <row r="545" spans="2:10" ht="24.75">
      <c r="B545" s="13" t="s">
        <v>151</v>
      </c>
      <c r="C545" s="19" t="s">
        <v>152</v>
      </c>
      <c r="D545" s="16" t="s">
        <v>444</v>
      </c>
      <c r="E545" s="10">
        <v>41274</v>
      </c>
      <c r="F545" s="32">
        <v>556395</v>
      </c>
      <c r="G545" s="10">
        <v>41274</v>
      </c>
      <c r="H545" s="90">
        <f>IF(F545&gt;0,0,"")</f>
        <v>0</v>
      </c>
      <c r="I545" s="90">
        <f>IF(H545=0,F545,"")</f>
        <v>556395</v>
      </c>
      <c r="J545" s="118" t="str">
        <f>IF(I545&gt;0,"ATRASADO","")</f>
        <v>ATRASADO</v>
      </c>
    </row>
    <row r="546" spans="2:10" ht="24.75">
      <c r="B546" s="13" t="s">
        <v>151</v>
      </c>
      <c r="C546" s="19" t="s">
        <v>152</v>
      </c>
      <c r="D546" s="16" t="s">
        <v>150</v>
      </c>
      <c r="E546" s="10">
        <v>41639</v>
      </c>
      <c r="F546" s="32">
        <f>4090.5+13332+37875-4090.5</f>
        <v>51207</v>
      </c>
      <c r="G546" s="10">
        <v>41639</v>
      </c>
      <c r="H546" s="90">
        <f>IF(F546&gt;0,0,"")</f>
        <v>0</v>
      </c>
      <c r="I546" s="90">
        <f>IF(H546=0,F546,"")</f>
        <v>51207</v>
      </c>
      <c r="J546" s="118" t="str">
        <f>IF(I546&gt;0,"ATRASADO","")</f>
        <v>ATRASADO</v>
      </c>
    </row>
    <row r="547" spans="2:10" ht="24.75">
      <c r="B547" s="13" t="s">
        <v>151</v>
      </c>
      <c r="C547" s="19" t="s">
        <v>152</v>
      </c>
      <c r="D547" s="16" t="s">
        <v>445</v>
      </c>
      <c r="E547" s="10">
        <v>42004</v>
      </c>
      <c r="F547" s="32">
        <v>19089</v>
      </c>
      <c r="G547" s="10">
        <v>42004</v>
      </c>
      <c r="H547" s="90">
        <f>IF(F547&gt;0,0,"")</f>
        <v>0</v>
      </c>
      <c r="I547" s="90">
        <f>IF(H547=0,F547,"")</f>
        <v>19089</v>
      </c>
      <c r="J547" s="118" t="str">
        <f>IF(I547&gt;0,"ATRASADO","")</f>
        <v>ATRASADO</v>
      </c>
    </row>
    <row r="548" spans="2:10" ht="24.75">
      <c r="B548" s="13" t="s">
        <v>151</v>
      </c>
      <c r="C548" s="19" t="s">
        <v>152</v>
      </c>
      <c r="D548" s="16">
        <v>1500004378</v>
      </c>
      <c r="E548" s="10">
        <v>42051</v>
      </c>
      <c r="F548" s="32">
        <v>6630</v>
      </c>
      <c r="G548" s="10">
        <v>42051</v>
      </c>
      <c r="H548" s="90">
        <f>IF(F548&gt;0,0,"")</f>
        <v>0</v>
      </c>
      <c r="I548" s="90">
        <f>IF(H548=0,F548,"")</f>
        <v>6630</v>
      </c>
      <c r="J548" s="118" t="str">
        <f>IF(I548&gt;0,"ATRASADO","")</f>
        <v>ATRASADO</v>
      </c>
    </row>
    <row r="549" spans="2:10" ht="24.75">
      <c r="B549" s="13" t="s">
        <v>151</v>
      </c>
      <c r="C549" s="19" t="s">
        <v>152</v>
      </c>
      <c r="D549" s="16">
        <v>1500004379</v>
      </c>
      <c r="E549" s="10">
        <v>42051</v>
      </c>
      <c r="F549" s="32">
        <v>9556</v>
      </c>
      <c r="G549" s="10">
        <v>42051</v>
      </c>
      <c r="H549" s="90">
        <f>IF(F549&gt;0,0,"")</f>
        <v>0</v>
      </c>
      <c r="I549" s="90">
        <f>IF(H549=0,F549,"")</f>
        <v>9556</v>
      </c>
      <c r="J549" s="118" t="str">
        <f>IF(I549&gt;0,"ATRASADO","")</f>
        <v>ATRASADO</v>
      </c>
    </row>
    <row r="550" spans="2:10">
      <c r="B550" s="13"/>
      <c r="C550" s="19"/>
      <c r="D550" s="16"/>
      <c r="E550" s="10"/>
      <c r="F550" s="32"/>
      <c r="G550" s="10"/>
    </row>
    <row r="551" spans="2:10">
      <c r="B551" s="13" t="s">
        <v>493</v>
      </c>
      <c r="C551" s="19" t="s">
        <v>494</v>
      </c>
      <c r="D551" s="16">
        <v>1761</v>
      </c>
      <c r="E551" s="10">
        <v>41212</v>
      </c>
      <c r="F551" s="32">
        <v>5220</v>
      </c>
      <c r="G551" s="10">
        <v>41212</v>
      </c>
      <c r="H551" s="90">
        <f>IF(F551&gt;0,0,"")</f>
        <v>0</v>
      </c>
      <c r="I551" s="90">
        <f>IF(H551=0,F551,"")</f>
        <v>5220</v>
      </c>
      <c r="J551" s="118" t="str">
        <f>IF(I551&gt;0,"ATRASADO","")</f>
        <v>ATRASADO</v>
      </c>
    </row>
    <row r="552" spans="2:10">
      <c r="B552" s="13" t="s">
        <v>493</v>
      </c>
      <c r="C552" s="19" t="s">
        <v>494</v>
      </c>
      <c r="D552" s="16">
        <v>1500000115</v>
      </c>
      <c r="E552" s="10">
        <v>42369</v>
      </c>
      <c r="F552" s="32">
        <v>4640</v>
      </c>
      <c r="G552" s="10">
        <v>42369</v>
      </c>
      <c r="H552" s="90">
        <f>IF(F552&gt;0,0,"")</f>
        <v>0</v>
      </c>
      <c r="I552" s="90">
        <f>IF(H552=0,F552,"")</f>
        <v>4640</v>
      </c>
      <c r="J552" s="118" t="str">
        <f>IF(I552&gt;0,"ATRASADO","")</f>
        <v>ATRASADO</v>
      </c>
    </row>
    <row r="553" spans="2:10">
      <c r="B553" s="13" t="s">
        <v>493</v>
      </c>
      <c r="C553" s="19" t="s">
        <v>494</v>
      </c>
      <c r="D553" s="16">
        <v>1500000118</v>
      </c>
      <c r="E553" s="10">
        <v>42369</v>
      </c>
      <c r="F553" s="32">
        <v>5220</v>
      </c>
      <c r="G553" s="10">
        <v>42369</v>
      </c>
      <c r="H553" s="90">
        <f>IF(F553&gt;0,0,"")</f>
        <v>0</v>
      </c>
      <c r="I553" s="90">
        <f>IF(H553=0,F553,"")</f>
        <v>5220</v>
      </c>
      <c r="J553" s="118" t="str">
        <f>IF(I553&gt;0,"ATRASADO","")</f>
        <v>ATRASADO</v>
      </c>
    </row>
    <row r="554" spans="2:10">
      <c r="B554" s="13"/>
      <c r="C554" s="19"/>
      <c r="D554" s="17"/>
      <c r="E554" s="10"/>
      <c r="F554" s="32"/>
      <c r="G554" s="10"/>
    </row>
    <row r="555" spans="2:10">
      <c r="B555" s="226" t="s">
        <v>1579</v>
      </c>
      <c r="C555" s="19" t="s">
        <v>962</v>
      </c>
      <c r="D555" s="17" t="s">
        <v>592</v>
      </c>
      <c r="E555" s="10">
        <v>44203</v>
      </c>
      <c r="F555" s="32">
        <v>29951.49</v>
      </c>
      <c r="G555" s="10">
        <v>44203</v>
      </c>
      <c r="H555" s="110">
        <v>29951.49</v>
      </c>
      <c r="I555" s="110">
        <f>+F555-H555</f>
        <v>0</v>
      </c>
      <c r="J555" s="117" t="s">
        <v>1572</v>
      </c>
    </row>
    <row r="556" spans="2:10">
      <c r="B556" s="13"/>
      <c r="C556" s="19"/>
      <c r="D556" s="17"/>
      <c r="E556" s="10"/>
      <c r="F556" s="32"/>
      <c r="G556" s="10"/>
    </row>
    <row r="557" spans="2:10">
      <c r="B557" s="13"/>
      <c r="C557" s="19"/>
      <c r="D557" s="17"/>
      <c r="E557" s="10"/>
      <c r="F557" s="32"/>
      <c r="G557" s="10"/>
    </row>
    <row r="558" spans="2:10">
      <c r="B558" s="13" t="s">
        <v>986</v>
      </c>
      <c r="C558" s="19" t="s">
        <v>102</v>
      </c>
      <c r="D558" s="17" t="s">
        <v>593</v>
      </c>
      <c r="E558" s="10">
        <v>44447</v>
      </c>
      <c r="F558" s="32">
        <v>29500</v>
      </c>
      <c r="G558" s="10">
        <v>44447</v>
      </c>
      <c r="H558" s="90">
        <f>IF(F558&gt;0,0,"")</f>
        <v>0</v>
      </c>
      <c r="I558" s="90">
        <f>IF(H558=0,F558,"")</f>
        <v>29500</v>
      </c>
      <c r="J558" s="118" t="str">
        <f>IF(I558&gt;0,"ATRASADO","")</f>
        <v>ATRASADO</v>
      </c>
    </row>
    <row r="559" spans="2:10">
      <c r="B559" s="13"/>
      <c r="C559" s="19"/>
      <c r="D559" s="17"/>
      <c r="E559" s="10"/>
      <c r="F559" s="32"/>
      <c r="G559" s="10"/>
    </row>
    <row r="560" spans="2:10">
      <c r="B560" s="13" t="s">
        <v>155</v>
      </c>
      <c r="C560" s="19" t="s">
        <v>156</v>
      </c>
      <c r="D560" s="17">
        <v>10200128</v>
      </c>
      <c r="E560" s="10">
        <v>41873</v>
      </c>
      <c r="F560" s="32">
        <v>34456</v>
      </c>
      <c r="G560" s="10">
        <v>41873</v>
      </c>
      <c r="H560" s="90">
        <f>IF(F560&gt;0,0,"")</f>
        <v>0</v>
      </c>
      <c r="I560" s="90">
        <f>IF(H560=0,F560,"")</f>
        <v>34456</v>
      </c>
      <c r="J560" s="118" t="str">
        <f>IF(I560&gt;0,"ATRASADO","")</f>
        <v>ATRASADO</v>
      </c>
    </row>
    <row r="561" spans="2:10">
      <c r="B561" s="13" t="s">
        <v>155</v>
      </c>
      <c r="C561" s="19" t="s">
        <v>156</v>
      </c>
      <c r="D561" s="17">
        <v>1500000073</v>
      </c>
      <c r="E561" s="10">
        <v>41648</v>
      </c>
      <c r="F561" s="32">
        <v>28556</v>
      </c>
      <c r="G561" s="10">
        <v>41648</v>
      </c>
      <c r="H561" s="90">
        <f>IF(F561&gt;0,0,"")</f>
        <v>0</v>
      </c>
      <c r="I561" s="90">
        <f>IF(H561=0,F561,"")</f>
        <v>28556</v>
      </c>
      <c r="J561" s="118" t="str">
        <f>IF(I561&gt;0,"ATRASADO","")</f>
        <v>ATRASADO</v>
      </c>
    </row>
    <row r="562" spans="2:10">
      <c r="B562" s="13"/>
      <c r="C562" s="19"/>
      <c r="D562" s="17"/>
      <c r="E562" s="10"/>
      <c r="F562" s="32"/>
      <c r="G562" s="10"/>
    </row>
    <row r="563" spans="2:10">
      <c r="B563" s="13" t="s">
        <v>984</v>
      </c>
      <c r="C563" s="19" t="s">
        <v>164</v>
      </c>
      <c r="D563" s="17" t="s">
        <v>1025</v>
      </c>
      <c r="E563" s="10" t="s">
        <v>1004</v>
      </c>
      <c r="F563" s="32">
        <v>566700</v>
      </c>
      <c r="G563" s="10" t="s">
        <v>1004</v>
      </c>
      <c r="H563" s="90">
        <f>IF(F563&gt;0,0,"")</f>
        <v>0</v>
      </c>
      <c r="I563" s="90">
        <f>IF(H563=0,F563,"")</f>
        <v>566700</v>
      </c>
      <c r="J563" s="118" t="str">
        <f>IF(I563&gt;0,"ATRASADO","")</f>
        <v>ATRASADO</v>
      </c>
    </row>
    <row r="564" spans="2:10">
      <c r="B564" s="13"/>
      <c r="C564" s="19"/>
      <c r="D564" s="17"/>
      <c r="E564" s="10"/>
      <c r="F564" s="32"/>
      <c r="G564" s="10"/>
    </row>
    <row r="565" spans="2:10">
      <c r="B565" s="13" t="s">
        <v>153</v>
      </c>
      <c r="C565" s="19" t="s">
        <v>154</v>
      </c>
      <c r="D565" s="17">
        <v>1500002773</v>
      </c>
      <c r="E565" s="10">
        <v>42257</v>
      </c>
      <c r="F565" s="32">
        <v>15400</v>
      </c>
      <c r="G565" s="10">
        <v>42257</v>
      </c>
      <c r="H565" s="90">
        <f>IF(F565&gt;0,0,"")</f>
        <v>0</v>
      </c>
      <c r="I565" s="90">
        <f>IF(H565=0,F565,"")</f>
        <v>15400</v>
      </c>
      <c r="J565" s="118" t="str">
        <f>IF(I565&gt;0,"ATRASADO","")</f>
        <v>ATRASADO</v>
      </c>
    </row>
    <row r="566" spans="2:10">
      <c r="B566" s="13"/>
      <c r="C566" s="19"/>
      <c r="D566" s="17"/>
      <c r="E566" s="10"/>
      <c r="F566" s="74"/>
      <c r="G566" s="10"/>
    </row>
    <row r="567" spans="2:10">
      <c r="B567" s="13" t="s">
        <v>1040</v>
      </c>
      <c r="C567" s="19" t="s">
        <v>1008</v>
      </c>
      <c r="D567" s="17" t="s">
        <v>934</v>
      </c>
      <c r="E567" s="10" t="s">
        <v>1041</v>
      </c>
      <c r="F567" s="74">
        <v>77880</v>
      </c>
      <c r="G567" s="10" t="s">
        <v>1041</v>
      </c>
      <c r="H567" s="90">
        <f>IF(F567&gt;0,0,"")</f>
        <v>0</v>
      </c>
      <c r="I567" s="90">
        <f>IF(H567=0,F567,"")</f>
        <v>77880</v>
      </c>
      <c r="J567" s="118" t="str">
        <f>IF(I567&gt;0,"ATRASADO","")</f>
        <v>ATRASADO</v>
      </c>
    </row>
    <row r="568" spans="2:10">
      <c r="B568" s="13"/>
      <c r="C568" s="19"/>
      <c r="D568" s="17"/>
      <c r="E568" s="10"/>
      <c r="F568" s="74"/>
      <c r="G568" s="10"/>
    </row>
    <row r="569" spans="2:10">
      <c r="B569" s="13" t="s">
        <v>731</v>
      </c>
      <c r="C569" s="19" t="s">
        <v>705</v>
      </c>
      <c r="D569" s="17" t="s">
        <v>633</v>
      </c>
      <c r="E569" s="10">
        <v>43696</v>
      </c>
      <c r="F569" s="74">
        <v>69856</v>
      </c>
      <c r="G569" s="10">
        <v>43696</v>
      </c>
      <c r="H569" s="90">
        <f>IF(F569&gt;0,0,"")</f>
        <v>0</v>
      </c>
      <c r="I569" s="90">
        <f>IF(H569=0,F569,"")</f>
        <v>69856</v>
      </c>
      <c r="J569" s="118" t="str">
        <f>IF(I569&gt;0,"ATRASADO","")</f>
        <v>ATRASADO</v>
      </c>
    </row>
    <row r="570" spans="2:10">
      <c r="B570" s="13"/>
      <c r="C570" s="19"/>
      <c r="D570" s="17"/>
      <c r="E570" s="10"/>
      <c r="F570" s="74"/>
      <c r="G570" s="10"/>
    </row>
    <row r="571" spans="2:10">
      <c r="B571" s="13" t="s">
        <v>921</v>
      </c>
      <c r="C571" s="19" t="s">
        <v>923</v>
      </c>
      <c r="D571" s="17" t="s">
        <v>922</v>
      </c>
      <c r="E571" s="10">
        <v>44320</v>
      </c>
      <c r="F571" s="74">
        <v>5921666.1900000004</v>
      </c>
      <c r="G571" s="10">
        <v>44320</v>
      </c>
      <c r="H571" s="90">
        <f>IF(F571&gt;0,0,"")</f>
        <v>0</v>
      </c>
      <c r="I571" s="90">
        <f>IF(H571=0,F571,"")</f>
        <v>5921666.1900000004</v>
      </c>
      <c r="J571" s="118" t="str">
        <f>IF(I571&gt;0,"ATRASADO","")</f>
        <v>ATRASADO</v>
      </c>
    </row>
    <row r="572" spans="2:10">
      <c r="B572" s="13"/>
      <c r="C572" s="19"/>
      <c r="D572" s="17"/>
      <c r="E572" s="10"/>
      <c r="F572" s="74"/>
      <c r="G572" s="10"/>
    </row>
    <row r="573" spans="2:10">
      <c r="B573" s="13" t="s">
        <v>563</v>
      </c>
      <c r="C573" s="19" t="s">
        <v>134</v>
      </c>
      <c r="D573" s="35" t="s">
        <v>562</v>
      </c>
      <c r="E573" s="36">
        <v>41900</v>
      </c>
      <c r="F573" s="32">
        <v>23600</v>
      </c>
      <c r="G573" s="36">
        <v>41900</v>
      </c>
      <c r="H573" s="90">
        <f>IF(F573&gt;0,0,"")</f>
        <v>0</v>
      </c>
      <c r="I573" s="90">
        <f>IF(H573=0,F573,"")</f>
        <v>23600</v>
      </c>
      <c r="J573" s="118" t="str">
        <f>IF(I573&gt;0,"ATRASADO","")</f>
        <v>ATRASADO</v>
      </c>
    </row>
    <row r="574" spans="2:10">
      <c r="B574" s="13"/>
      <c r="C574" s="19"/>
      <c r="D574" s="17"/>
      <c r="E574" s="10"/>
      <c r="F574" s="74"/>
      <c r="G574" s="10"/>
    </row>
    <row r="575" spans="2:10">
      <c r="B575" s="13" t="s">
        <v>23</v>
      </c>
      <c r="C575" s="19" t="s">
        <v>24</v>
      </c>
      <c r="D575" s="21" t="s">
        <v>22</v>
      </c>
      <c r="E575" s="11">
        <v>41792</v>
      </c>
      <c r="F575" s="32">
        <v>220000</v>
      </c>
      <c r="G575" s="11">
        <v>41792</v>
      </c>
      <c r="H575" s="90">
        <f t="shared" ref="H575:H590" si="33">IF(F575&gt;0,0,"")</f>
        <v>0</v>
      </c>
      <c r="I575" s="90">
        <f t="shared" ref="I575:I590" si="34">IF(H575=0,F575,"")</f>
        <v>220000</v>
      </c>
      <c r="J575" s="118" t="str">
        <f t="shared" ref="J575:J590" si="35">IF(I575&gt;0,"ATRASADO","")</f>
        <v>ATRASADO</v>
      </c>
    </row>
    <row r="576" spans="2:10">
      <c r="B576" s="13" t="s">
        <v>23</v>
      </c>
      <c r="C576" s="19" t="s">
        <v>24</v>
      </c>
      <c r="D576" s="21" t="s">
        <v>25</v>
      </c>
      <c r="E576" s="11">
        <v>41821</v>
      </c>
      <c r="F576" s="32">
        <v>220000</v>
      </c>
      <c r="G576" s="11">
        <v>41821</v>
      </c>
      <c r="H576" s="90">
        <f t="shared" si="33"/>
        <v>0</v>
      </c>
      <c r="I576" s="90">
        <f t="shared" si="34"/>
        <v>220000</v>
      </c>
      <c r="J576" s="118" t="str">
        <f t="shared" si="35"/>
        <v>ATRASADO</v>
      </c>
    </row>
    <row r="577" spans="2:10">
      <c r="B577" s="13" t="s">
        <v>23</v>
      </c>
      <c r="C577" s="19" t="s">
        <v>24</v>
      </c>
      <c r="D577" s="21" t="s">
        <v>26</v>
      </c>
      <c r="E577" s="11">
        <v>41821</v>
      </c>
      <c r="F577" s="32">
        <v>220000</v>
      </c>
      <c r="G577" s="11">
        <v>41821</v>
      </c>
      <c r="H577" s="90">
        <f t="shared" si="33"/>
        <v>0</v>
      </c>
      <c r="I577" s="90">
        <f t="shared" si="34"/>
        <v>220000</v>
      </c>
      <c r="J577" s="118" t="str">
        <f t="shared" si="35"/>
        <v>ATRASADO</v>
      </c>
    </row>
    <row r="578" spans="2:10">
      <c r="B578" s="13" t="s">
        <v>23</v>
      </c>
      <c r="C578" s="19" t="s">
        <v>24</v>
      </c>
      <c r="D578" s="21">
        <v>1502438714</v>
      </c>
      <c r="E578" s="11">
        <v>42217</v>
      </c>
      <c r="F578" s="32">
        <v>266000</v>
      </c>
      <c r="G578" s="11">
        <v>42217</v>
      </c>
      <c r="H578" s="90">
        <f t="shared" si="33"/>
        <v>0</v>
      </c>
      <c r="I578" s="90">
        <f t="shared" si="34"/>
        <v>266000</v>
      </c>
      <c r="J578" s="118" t="str">
        <f t="shared" si="35"/>
        <v>ATRASADO</v>
      </c>
    </row>
    <row r="579" spans="2:10">
      <c r="B579" s="13" t="s">
        <v>23</v>
      </c>
      <c r="C579" s="19" t="s">
        <v>24</v>
      </c>
      <c r="D579" s="21">
        <v>1502438715</v>
      </c>
      <c r="E579" s="11">
        <v>42217</v>
      </c>
      <c r="F579" s="32">
        <v>266000</v>
      </c>
      <c r="G579" s="11">
        <v>42217</v>
      </c>
      <c r="H579" s="90">
        <f t="shared" si="33"/>
        <v>0</v>
      </c>
      <c r="I579" s="90">
        <f t="shared" si="34"/>
        <v>266000</v>
      </c>
      <c r="J579" s="118" t="str">
        <f t="shared" si="35"/>
        <v>ATRASADO</v>
      </c>
    </row>
    <row r="580" spans="2:10">
      <c r="B580" s="13" t="s">
        <v>23</v>
      </c>
      <c r="C580" s="19" t="s">
        <v>24</v>
      </c>
      <c r="D580" s="21">
        <v>1502438716</v>
      </c>
      <c r="E580" s="11">
        <v>42170</v>
      </c>
      <c r="F580" s="32">
        <v>266000</v>
      </c>
      <c r="G580" s="11">
        <v>42170</v>
      </c>
      <c r="H580" s="90">
        <f t="shared" si="33"/>
        <v>0</v>
      </c>
      <c r="I580" s="90">
        <f t="shared" si="34"/>
        <v>266000</v>
      </c>
      <c r="J580" s="118" t="str">
        <f t="shared" si="35"/>
        <v>ATRASADO</v>
      </c>
    </row>
    <row r="581" spans="2:10">
      <c r="B581" s="13" t="s">
        <v>23</v>
      </c>
      <c r="C581" s="19" t="s">
        <v>24</v>
      </c>
      <c r="D581" s="21">
        <v>1502438717</v>
      </c>
      <c r="E581" s="11">
        <v>42170</v>
      </c>
      <c r="F581" s="32">
        <v>266000</v>
      </c>
      <c r="G581" s="11">
        <v>42170</v>
      </c>
      <c r="H581" s="90">
        <f t="shared" si="33"/>
        <v>0</v>
      </c>
      <c r="I581" s="90">
        <f t="shared" si="34"/>
        <v>266000</v>
      </c>
      <c r="J581" s="118" t="str">
        <f t="shared" si="35"/>
        <v>ATRASADO</v>
      </c>
    </row>
    <row r="582" spans="2:10">
      <c r="B582" s="13" t="s">
        <v>23</v>
      </c>
      <c r="C582" s="19" t="s">
        <v>24</v>
      </c>
      <c r="D582" s="21">
        <v>1502438718</v>
      </c>
      <c r="E582" s="11">
        <v>42200</v>
      </c>
      <c r="F582" s="32">
        <v>266000</v>
      </c>
      <c r="G582" s="11">
        <v>42200</v>
      </c>
      <c r="H582" s="90">
        <f t="shared" si="33"/>
        <v>0</v>
      </c>
      <c r="I582" s="90">
        <f t="shared" si="34"/>
        <v>266000</v>
      </c>
      <c r="J582" s="118" t="str">
        <f t="shared" si="35"/>
        <v>ATRASADO</v>
      </c>
    </row>
    <row r="583" spans="2:10">
      <c r="B583" s="13" t="s">
        <v>23</v>
      </c>
      <c r="C583" s="19" t="s">
        <v>24</v>
      </c>
      <c r="D583" s="21">
        <v>1502438719</v>
      </c>
      <c r="E583" s="11">
        <v>42200</v>
      </c>
      <c r="F583" s="32">
        <v>266000</v>
      </c>
      <c r="G583" s="11">
        <v>42200</v>
      </c>
      <c r="H583" s="90">
        <f t="shared" si="33"/>
        <v>0</v>
      </c>
      <c r="I583" s="90">
        <f t="shared" si="34"/>
        <v>266000</v>
      </c>
      <c r="J583" s="118" t="str">
        <f t="shared" si="35"/>
        <v>ATRASADO</v>
      </c>
    </row>
    <row r="584" spans="2:10">
      <c r="B584" s="13" t="s">
        <v>23</v>
      </c>
      <c r="C584" s="19" t="s">
        <v>24</v>
      </c>
      <c r="D584" s="21">
        <v>1502438720</v>
      </c>
      <c r="E584" s="11">
        <v>42200</v>
      </c>
      <c r="F584" s="32">
        <v>266000</v>
      </c>
      <c r="G584" s="11">
        <v>42200</v>
      </c>
      <c r="H584" s="90">
        <f t="shared" si="33"/>
        <v>0</v>
      </c>
      <c r="I584" s="90">
        <f t="shared" si="34"/>
        <v>266000</v>
      </c>
      <c r="J584" s="118" t="str">
        <f t="shared" si="35"/>
        <v>ATRASADO</v>
      </c>
    </row>
    <row r="585" spans="2:10">
      <c r="B585" s="13" t="s">
        <v>23</v>
      </c>
      <c r="C585" s="19" t="s">
        <v>24</v>
      </c>
      <c r="D585" s="21">
        <v>1502438721</v>
      </c>
      <c r="E585" s="11">
        <v>42200</v>
      </c>
      <c r="F585" s="32">
        <v>266000</v>
      </c>
      <c r="G585" s="11">
        <v>42200</v>
      </c>
      <c r="H585" s="90">
        <f t="shared" si="33"/>
        <v>0</v>
      </c>
      <c r="I585" s="90">
        <f t="shared" si="34"/>
        <v>266000</v>
      </c>
      <c r="J585" s="118" t="str">
        <f t="shared" si="35"/>
        <v>ATRASADO</v>
      </c>
    </row>
    <row r="586" spans="2:10">
      <c r="B586" s="13" t="s">
        <v>23</v>
      </c>
      <c r="C586" s="19" t="s">
        <v>24</v>
      </c>
      <c r="D586" s="21">
        <v>1502438722</v>
      </c>
      <c r="E586" s="11">
        <v>42208</v>
      </c>
      <c r="F586" s="32">
        <v>266000</v>
      </c>
      <c r="G586" s="11">
        <v>42208</v>
      </c>
      <c r="H586" s="90">
        <f t="shared" si="33"/>
        <v>0</v>
      </c>
      <c r="I586" s="90">
        <f t="shared" si="34"/>
        <v>266000</v>
      </c>
      <c r="J586" s="118" t="str">
        <f t="shared" si="35"/>
        <v>ATRASADO</v>
      </c>
    </row>
    <row r="587" spans="2:10">
      <c r="B587" s="13" t="s">
        <v>23</v>
      </c>
      <c r="C587" s="19" t="s">
        <v>24</v>
      </c>
      <c r="D587" s="21">
        <v>1502438723</v>
      </c>
      <c r="E587" s="11">
        <v>42208</v>
      </c>
      <c r="F587" s="32">
        <v>266000</v>
      </c>
      <c r="G587" s="11">
        <v>42208</v>
      </c>
      <c r="H587" s="90">
        <f t="shared" si="33"/>
        <v>0</v>
      </c>
      <c r="I587" s="90">
        <f t="shared" si="34"/>
        <v>266000</v>
      </c>
      <c r="J587" s="118" t="str">
        <f t="shared" si="35"/>
        <v>ATRASADO</v>
      </c>
    </row>
    <row r="588" spans="2:10">
      <c r="B588" s="13" t="s">
        <v>23</v>
      </c>
      <c r="C588" s="19" t="s">
        <v>24</v>
      </c>
      <c r="D588" s="21">
        <v>1502438724</v>
      </c>
      <c r="E588" s="11">
        <v>42216</v>
      </c>
      <c r="F588" s="32">
        <v>266000</v>
      </c>
      <c r="G588" s="11">
        <v>42216</v>
      </c>
      <c r="H588" s="90">
        <f t="shared" si="33"/>
        <v>0</v>
      </c>
      <c r="I588" s="90">
        <f t="shared" si="34"/>
        <v>266000</v>
      </c>
      <c r="J588" s="118" t="str">
        <f t="shared" si="35"/>
        <v>ATRASADO</v>
      </c>
    </row>
    <row r="589" spans="2:10">
      <c r="B589" s="13" t="s">
        <v>23</v>
      </c>
      <c r="C589" s="19" t="s">
        <v>24</v>
      </c>
      <c r="D589" s="21">
        <v>1502438725</v>
      </c>
      <c r="E589" s="11">
        <v>42216</v>
      </c>
      <c r="F589" s="32">
        <v>266000</v>
      </c>
      <c r="G589" s="11">
        <v>42216</v>
      </c>
      <c r="H589" s="90">
        <f t="shared" si="33"/>
        <v>0</v>
      </c>
      <c r="I589" s="90">
        <f t="shared" si="34"/>
        <v>266000</v>
      </c>
      <c r="J589" s="118" t="str">
        <f t="shared" si="35"/>
        <v>ATRASADO</v>
      </c>
    </row>
    <row r="590" spans="2:10">
      <c r="B590" s="13" t="s">
        <v>23</v>
      </c>
      <c r="C590" s="19" t="s">
        <v>24</v>
      </c>
      <c r="D590" s="21">
        <v>1502438726</v>
      </c>
      <c r="E590" s="11">
        <v>42221</v>
      </c>
      <c r="F590" s="32">
        <v>266000</v>
      </c>
      <c r="G590" s="11">
        <v>42221</v>
      </c>
      <c r="H590" s="90">
        <f t="shared" si="33"/>
        <v>0</v>
      </c>
      <c r="I590" s="90">
        <f t="shared" si="34"/>
        <v>266000</v>
      </c>
      <c r="J590" s="118" t="str">
        <f t="shared" si="35"/>
        <v>ATRASADO</v>
      </c>
    </row>
    <row r="591" spans="2:10">
      <c r="B591" s="13"/>
      <c r="C591" s="19"/>
      <c r="D591" s="21"/>
      <c r="E591" s="11"/>
      <c r="F591" s="32"/>
      <c r="G591" s="11"/>
    </row>
    <row r="592" spans="2:10">
      <c r="B592" s="13" t="s">
        <v>157</v>
      </c>
      <c r="C592" s="19" t="s">
        <v>102</v>
      </c>
      <c r="D592" s="16">
        <v>1500648147</v>
      </c>
      <c r="E592" s="10">
        <v>42647</v>
      </c>
      <c r="F592" s="32">
        <v>14160</v>
      </c>
      <c r="G592" s="10">
        <v>42647</v>
      </c>
      <c r="H592" s="90">
        <f>IF(F592&gt;0,0,"")</f>
        <v>0</v>
      </c>
      <c r="I592" s="90">
        <f>IF(H592=0,F592,"")</f>
        <v>14160</v>
      </c>
      <c r="J592" s="118" t="str">
        <f>IF(I592&gt;0,"ATRASADO","")</f>
        <v>ATRASADO</v>
      </c>
    </row>
    <row r="593" spans="2:10">
      <c r="B593" s="13"/>
      <c r="C593" s="19"/>
      <c r="D593" s="16"/>
      <c r="E593" s="10"/>
      <c r="F593" s="32"/>
      <c r="G593" s="10"/>
    </row>
    <row r="594" spans="2:10">
      <c r="B594" s="13" t="s">
        <v>48</v>
      </c>
      <c r="C594" s="19" t="s">
        <v>21</v>
      </c>
      <c r="D594" s="16" t="s">
        <v>47</v>
      </c>
      <c r="E594" s="10">
        <v>41184</v>
      </c>
      <c r="F594" s="32">
        <f>11299.52+320.12</f>
        <v>11619.640000000001</v>
      </c>
      <c r="G594" s="10">
        <v>41184</v>
      </c>
      <c r="H594" s="90">
        <f t="shared" ref="H594:H611" si="36">IF(F594&gt;0,0,"")</f>
        <v>0</v>
      </c>
      <c r="I594" s="90">
        <f t="shared" ref="I594:I611" si="37">IF(H594=0,F594,"")</f>
        <v>11619.640000000001</v>
      </c>
      <c r="J594" s="118" t="str">
        <f t="shared" ref="J594:J611" si="38">IF(I594&gt;0,"ATRASADO","")</f>
        <v>ATRASADO</v>
      </c>
    </row>
    <row r="595" spans="2:10">
      <c r="B595" s="13" t="s">
        <v>48</v>
      </c>
      <c r="C595" s="19" t="s">
        <v>21</v>
      </c>
      <c r="D595" s="16" t="s">
        <v>37</v>
      </c>
      <c r="E595" s="10">
        <v>41215</v>
      </c>
      <c r="F595" s="32">
        <v>20299.79</v>
      </c>
      <c r="G595" s="10">
        <v>41215</v>
      </c>
      <c r="H595" s="90">
        <f t="shared" si="36"/>
        <v>0</v>
      </c>
      <c r="I595" s="90">
        <f t="shared" si="37"/>
        <v>20299.79</v>
      </c>
      <c r="J595" s="118" t="str">
        <f t="shared" si="38"/>
        <v>ATRASADO</v>
      </c>
    </row>
    <row r="596" spans="2:10">
      <c r="B596" s="13" t="s">
        <v>48</v>
      </c>
      <c r="C596" s="19" t="s">
        <v>21</v>
      </c>
      <c r="D596" s="16" t="s">
        <v>39</v>
      </c>
      <c r="E596" s="10">
        <v>41245</v>
      </c>
      <c r="F596" s="32">
        <v>20299.79</v>
      </c>
      <c r="G596" s="10">
        <v>41245</v>
      </c>
      <c r="H596" s="90">
        <f t="shared" si="36"/>
        <v>0</v>
      </c>
      <c r="I596" s="90">
        <f t="shared" si="37"/>
        <v>20299.79</v>
      </c>
      <c r="J596" s="118" t="str">
        <f t="shared" si="38"/>
        <v>ATRASADO</v>
      </c>
    </row>
    <row r="597" spans="2:10">
      <c r="B597" s="13" t="s">
        <v>48</v>
      </c>
      <c r="C597" s="19" t="s">
        <v>21</v>
      </c>
      <c r="D597" s="16" t="s">
        <v>40</v>
      </c>
      <c r="E597" s="10">
        <v>41276</v>
      </c>
      <c r="F597" s="32">
        <v>20649.8</v>
      </c>
      <c r="G597" s="10">
        <v>41276</v>
      </c>
      <c r="H597" s="90">
        <f t="shared" si="36"/>
        <v>0</v>
      </c>
      <c r="I597" s="90">
        <f t="shared" si="37"/>
        <v>20649.8</v>
      </c>
      <c r="J597" s="118" t="str">
        <f t="shared" si="38"/>
        <v>ATRASADO</v>
      </c>
    </row>
    <row r="598" spans="2:10">
      <c r="B598" s="13" t="s">
        <v>48</v>
      </c>
      <c r="C598" s="19" t="s">
        <v>21</v>
      </c>
      <c r="D598" s="16" t="s">
        <v>41</v>
      </c>
      <c r="E598" s="10">
        <v>41307</v>
      </c>
      <c r="F598" s="32">
        <v>20649.8</v>
      </c>
      <c r="G598" s="10">
        <v>41307</v>
      </c>
      <c r="H598" s="90">
        <f t="shared" si="36"/>
        <v>0</v>
      </c>
      <c r="I598" s="90">
        <f t="shared" si="37"/>
        <v>20649.8</v>
      </c>
      <c r="J598" s="118" t="str">
        <f t="shared" si="38"/>
        <v>ATRASADO</v>
      </c>
    </row>
    <row r="599" spans="2:10">
      <c r="B599" s="13" t="s">
        <v>48</v>
      </c>
      <c r="C599" s="19" t="s">
        <v>21</v>
      </c>
      <c r="D599" s="16" t="s">
        <v>42</v>
      </c>
      <c r="E599" s="10">
        <v>41335</v>
      </c>
      <c r="F599" s="32">
        <v>20649.8</v>
      </c>
      <c r="G599" s="10">
        <v>41335</v>
      </c>
      <c r="H599" s="90">
        <f t="shared" si="36"/>
        <v>0</v>
      </c>
      <c r="I599" s="90">
        <f t="shared" si="37"/>
        <v>20649.8</v>
      </c>
      <c r="J599" s="118" t="str">
        <f t="shared" si="38"/>
        <v>ATRASADO</v>
      </c>
    </row>
    <row r="600" spans="2:10">
      <c r="B600" s="13" t="s">
        <v>48</v>
      </c>
      <c r="C600" s="19" t="s">
        <v>21</v>
      </c>
      <c r="D600" s="16" t="s">
        <v>43</v>
      </c>
      <c r="E600" s="10">
        <v>41394</v>
      </c>
      <c r="F600" s="32">
        <v>20649.8</v>
      </c>
      <c r="G600" s="10">
        <v>41394</v>
      </c>
      <c r="H600" s="90">
        <f t="shared" si="36"/>
        <v>0</v>
      </c>
      <c r="I600" s="90">
        <f t="shared" si="37"/>
        <v>20649.8</v>
      </c>
      <c r="J600" s="118" t="str">
        <f t="shared" si="38"/>
        <v>ATRASADO</v>
      </c>
    </row>
    <row r="601" spans="2:10">
      <c r="B601" s="13" t="s">
        <v>48</v>
      </c>
      <c r="C601" s="19" t="s">
        <v>21</v>
      </c>
      <c r="D601" s="16" t="s">
        <v>44</v>
      </c>
      <c r="E601" s="10">
        <v>41425</v>
      </c>
      <c r="F601" s="32">
        <v>20649.8</v>
      </c>
      <c r="G601" s="10">
        <v>41425</v>
      </c>
      <c r="H601" s="90">
        <f t="shared" si="36"/>
        <v>0</v>
      </c>
      <c r="I601" s="90">
        <f t="shared" si="37"/>
        <v>20649.8</v>
      </c>
      <c r="J601" s="118" t="str">
        <f t="shared" si="38"/>
        <v>ATRASADO</v>
      </c>
    </row>
    <row r="602" spans="2:10">
      <c r="B602" s="13" t="s">
        <v>48</v>
      </c>
      <c r="C602" s="19" t="s">
        <v>21</v>
      </c>
      <c r="D602" s="16" t="s">
        <v>30</v>
      </c>
      <c r="E602" s="10">
        <v>41455</v>
      </c>
      <c r="F602" s="32">
        <v>20649.8</v>
      </c>
      <c r="G602" s="10">
        <v>41455</v>
      </c>
      <c r="H602" s="90">
        <f t="shared" si="36"/>
        <v>0</v>
      </c>
      <c r="I602" s="90">
        <f t="shared" si="37"/>
        <v>20649.8</v>
      </c>
      <c r="J602" s="118" t="str">
        <f t="shared" si="38"/>
        <v>ATRASADO</v>
      </c>
    </row>
    <row r="603" spans="2:10">
      <c r="B603" s="13" t="s">
        <v>48</v>
      </c>
      <c r="C603" s="19" t="s">
        <v>21</v>
      </c>
      <c r="D603" s="16" t="s">
        <v>32</v>
      </c>
      <c r="E603" s="10">
        <v>41485</v>
      </c>
      <c r="F603" s="32">
        <v>20649.8</v>
      </c>
      <c r="G603" s="10">
        <v>41485</v>
      </c>
      <c r="H603" s="90">
        <f t="shared" si="36"/>
        <v>0</v>
      </c>
      <c r="I603" s="90">
        <f t="shared" si="37"/>
        <v>20649.8</v>
      </c>
      <c r="J603" s="118" t="str">
        <f t="shared" si="38"/>
        <v>ATRASADO</v>
      </c>
    </row>
    <row r="604" spans="2:10">
      <c r="B604" s="13" t="s">
        <v>48</v>
      </c>
      <c r="C604" s="19" t="s">
        <v>21</v>
      </c>
      <c r="D604" s="16" t="s">
        <v>33</v>
      </c>
      <c r="E604" s="10">
        <v>41517</v>
      </c>
      <c r="F604" s="32">
        <v>20649.8</v>
      </c>
      <c r="G604" s="10">
        <v>41517</v>
      </c>
      <c r="H604" s="90">
        <f t="shared" si="36"/>
        <v>0</v>
      </c>
      <c r="I604" s="90">
        <f t="shared" si="37"/>
        <v>20649.8</v>
      </c>
      <c r="J604" s="118" t="str">
        <f t="shared" si="38"/>
        <v>ATRASADO</v>
      </c>
    </row>
    <row r="605" spans="2:10">
      <c r="B605" s="13" t="s">
        <v>48</v>
      </c>
      <c r="C605" s="19" t="s">
        <v>21</v>
      </c>
      <c r="D605" s="16" t="s">
        <v>45</v>
      </c>
      <c r="E605" s="10">
        <v>41547</v>
      </c>
      <c r="F605" s="32">
        <v>20649.8</v>
      </c>
      <c r="G605" s="10">
        <v>41547</v>
      </c>
      <c r="H605" s="90">
        <f t="shared" si="36"/>
        <v>0</v>
      </c>
      <c r="I605" s="90">
        <f t="shared" si="37"/>
        <v>20649.8</v>
      </c>
      <c r="J605" s="118" t="str">
        <f t="shared" si="38"/>
        <v>ATRASADO</v>
      </c>
    </row>
    <row r="606" spans="2:10">
      <c r="B606" s="13" t="s">
        <v>48</v>
      </c>
      <c r="C606" s="19" t="s">
        <v>21</v>
      </c>
      <c r="D606" s="16" t="s">
        <v>46</v>
      </c>
      <c r="E606" s="10">
        <v>41577</v>
      </c>
      <c r="F606" s="32">
        <v>20649.8</v>
      </c>
      <c r="G606" s="10">
        <v>41577</v>
      </c>
      <c r="H606" s="90">
        <f t="shared" si="36"/>
        <v>0</v>
      </c>
      <c r="I606" s="90">
        <f t="shared" si="37"/>
        <v>20649.8</v>
      </c>
      <c r="J606" s="118" t="str">
        <f t="shared" si="38"/>
        <v>ATRASADO</v>
      </c>
    </row>
    <row r="607" spans="2:10">
      <c r="B607" s="13" t="s">
        <v>48</v>
      </c>
      <c r="C607" s="19" t="s">
        <v>21</v>
      </c>
      <c r="D607" s="16" t="s">
        <v>49</v>
      </c>
      <c r="E607" s="10">
        <v>41608</v>
      </c>
      <c r="F607" s="32">
        <v>20649.8</v>
      </c>
      <c r="G607" s="10">
        <v>41608</v>
      </c>
      <c r="H607" s="90">
        <f t="shared" si="36"/>
        <v>0</v>
      </c>
      <c r="I607" s="90">
        <f t="shared" si="37"/>
        <v>20649.8</v>
      </c>
      <c r="J607" s="118" t="str">
        <f t="shared" si="38"/>
        <v>ATRASADO</v>
      </c>
    </row>
    <row r="608" spans="2:10">
      <c r="B608" s="13" t="s">
        <v>48</v>
      </c>
      <c r="C608" s="19" t="s">
        <v>21</v>
      </c>
      <c r="D608" s="16" t="s">
        <v>50</v>
      </c>
      <c r="E608" s="10">
        <v>41638</v>
      </c>
      <c r="F608" s="32">
        <v>20649.8</v>
      </c>
      <c r="G608" s="10">
        <v>41638</v>
      </c>
      <c r="H608" s="90">
        <f t="shared" si="36"/>
        <v>0</v>
      </c>
      <c r="I608" s="90">
        <f t="shared" si="37"/>
        <v>20649.8</v>
      </c>
      <c r="J608" s="118" t="str">
        <f t="shared" si="38"/>
        <v>ATRASADO</v>
      </c>
    </row>
    <row r="609" spans="2:10">
      <c r="B609" s="13" t="s">
        <v>48</v>
      </c>
      <c r="C609" s="19" t="s">
        <v>21</v>
      </c>
      <c r="D609" s="16" t="s">
        <v>51</v>
      </c>
      <c r="E609" s="10">
        <v>41669</v>
      </c>
      <c r="F609" s="32">
        <v>20649.8</v>
      </c>
      <c r="G609" s="10">
        <v>41669</v>
      </c>
      <c r="H609" s="90">
        <f t="shared" si="36"/>
        <v>0</v>
      </c>
      <c r="I609" s="90">
        <f t="shared" si="37"/>
        <v>20649.8</v>
      </c>
      <c r="J609" s="118" t="str">
        <f t="shared" si="38"/>
        <v>ATRASADO</v>
      </c>
    </row>
    <row r="610" spans="2:10">
      <c r="B610" s="13" t="s">
        <v>48</v>
      </c>
      <c r="C610" s="19" t="s">
        <v>21</v>
      </c>
      <c r="D610" s="16" t="s">
        <v>52</v>
      </c>
      <c r="E610" s="10">
        <v>41698</v>
      </c>
      <c r="F610" s="32">
        <v>20649.8</v>
      </c>
      <c r="G610" s="10">
        <v>41698</v>
      </c>
      <c r="H610" s="90">
        <f t="shared" si="36"/>
        <v>0</v>
      </c>
      <c r="I610" s="90">
        <f t="shared" si="37"/>
        <v>20649.8</v>
      </c>
      <c r="J610" s="118" t="str">
        <f t="shared" si="38"/>
        <v>ATRASADO</v>
      </c>
    </row>
    <row r="611" spans="2:10">
      <c r="B611" s="13" t="s">
        <v>48</v>
      </c>
      <c r="C611" s="19" t="s">
        <v>21</v>
      </c>
      <c r="D611" s="16" t="s">
        <v>53</v>
      </c>
      <c r="E611" s="10">
        <v>41729</v>
      </c>
      <c r="F611" s="32">
        <v>20649.8</v>
      </c>
      <c r="G611" s="10">
        <v>41729</v>
      </c>
      <c r="H611" s="90">
        <f t="shared" si="36"/>
        <v>0</v>
      </c>
      <c r="I611" s="90">
        <f t="shared" si="37"/>
        <v>20649.8</v>
      </c>
      <c r="J611" s="118" t="str">
        <f t="shared" si="38"/>
        <v>ATRASADO</v>
      </c>
    </row>
    <row r="612" spans="2:10">
      <c r="B612" s="13"/>
      <c r="C612" s="19"/>
      <c r="D612" s="16"/>
      <c r="E612" s="10"/>
      <c r="F612" s="32"/>
      <c r="G612" s="10"/>
    </row>
    <row r="613" spans="2:10">
      <c r="B613" s="13" t="s">
        <v>158</v>
      </c>
      <c r="C613" s="19" t="s">
        <v>120</v>
      </c>
      <c r="D613" s="16">
        <v>1500000150</v>
      </c>
      <c r="E613" s="10">
        <v>42779</v>
      </c>
      <c r="F613" s="32">
        <v>105003.48</v>
      </c>
      <c r="G613" s="10">
        <v>42779</v>
      </c>
      <c r="H613" s="90">
        <f>IF(F613&gt;0,0,"")</f>
        <v>0</v>
      </c>
      <c r="I613" s="90">
        <f>IF(H613=0,F613,"")</f>
        <v>105003.48</v>
      </c>
      <c r="J613" s="118" t="str">
        <f>IF(I613&gt;0,"ATRASADO","")</f>
        <v>ATRASADO</v>
      </c>
    </row>
    <row r="614" spans="2:10">
      <c r="B614" s="13"/>
      <c r="C614" s="19"/>
      <c r="D614" s="16"/>
      <c r="E614" s="10"/>
      <c r="F614" s="32"/>
      <c r="G614" s="10"/>
    </row>
    <row r="615" spans="2:10">
      <c r="B615" s="107" t="s">
        <v>916</v>
      </c>
      <c r="C615" s="19" t="s">
        <v>102</v>
      </c>
      <c r="D615" s="16" t="s">
        <v>1021</v>
      </c>
      <c r="E615" s="10">
        <v>44508</v>
      </c>
      <c r="F615" s="32">
        <v>23600</v>
      </c>
      <c r="G615" s="10">
        <v>44508</v>
      </c>
      <c r="H615" s="90">
        <f>IF(F615&gt;0,0,"")</f>
        <v>0</v>
      </c>
      <c r="I615" s="90">
        <f>IF(H615=0,F615,"")</f>
        <v>23600</v>
      </c>
      <c r="J615" s="118" t="str">
        <f>IF(I615&gt;0,"ATRASADO","")</f>
        <v>ATRASADO</v>
      </c>
    </row>
    <row r="616" spans="2:10">
      <c r="B616" s="107" t="s">
        <v>916</v>
      </c>
      <c r="C616" s="19" t="s">
        <v>102</v>
      </c>
      <c r="D616" s="16" t="s">
        <v>1022</v>
      </c>
      <c r="E616" s="10">
        <v>44508</v>
      </c>
      <c r="F616" s="32">
        <v>23600</v>
      </c>
      <c r="G616" s="10">
        <v>44508</v>
      </c>
      <c r="H616" s="90">
        <f>IF(F616&gt;0,0,"")</f>
        <v>0</v>
      </c>
      <c r="I616" s="90">
        <f>IF(H616=0,F616,"")</f>
        <v>23600</v>
      </c>
      <c r="J616" s="118" t="str">
        <f>IF(I616&gt;0,"ATRASADO","")</f>
        <v>ATRASADO</v>
      </c>
    </row>
    <row r="617" spans="2:10">
      <c r="B617" s="13"/>
      <c r="C617" s="19"/>
      <c r="D617" s="16"/>
      <c r="E617" s="10"/>
      <c r="F617" s="32"/>
      <c r="G617" s="10"/>
    </row>
    <row r="618" spans="2:10">
      <c r="B618" s="13" t="s">
        <v>985</v>
      </c>
      <c r="C618" s="19" t="s">
        <v>570</v>
      </c>
      <c r="D618" s="16" t="s">
        <v>924</v>
      </c>
      <c r="E618" s="10">
        <v>44263</v>
      </c>
      <c r="F618" s="32">
        <v>102894.35</v>
      </c>
      <c r="G618" s="10">
        <v>44263</v>
      </c>
      <c r="H618" s="90">
        <f>IF(F618&gt;0,0,"")</f>
        <v>0</v>
      </c>
      <c r="I618" s="90">
        <f>IF(H618=0,F618,"")</f>
        <v>102894.35</v>
      </c>
      <c r="J618" s="118" t="str">
        <f>IF(I618&gt;0,"ATRASADO","")</f>
        <v>ATRASADO</v>
      </c>
    </row>
    <row r="619" spans="2:10">
      <c r="B619" s="13" t="s">
        <v>985</v>
      </c>
      <c r="C619" s="19" t="s">
        <v>570</v>
      </c>
      <c r="D619" s="16" t="s">
        <v>980</v>
      </c>
      <c r="E619" s="10">
        <v>44447</v>
      </c>
      <c r="F619" s="32">
        <v>885000</v>
      </c>
      <c r="G619" s="10">
        <v>44447</v>
      </c>
      <c r="H619" s="90">
        <f>IF(F619&gt;0,0,"")</f>
        <v>0</v>
      </c>
      <c r="I619" s="90">
        <f>IF(H619=0,F619,"")</f>
        <v>885000</v>
      </c>
      <c r="J619" s="118" t="str">
        <f>IF(I619&gt;0,"ATRASADO","")</f>
        <v>ATRASADO</v>
      </c>
    </row>
    <row r="620" spans="2:10">
      <c r="B620" s="13"/>
      <c r="C620" s="19"/>
      <c r="D620" s="16"/>
      <c r="E620" s="10"/>
      <c r="F620" s="32"/>
      <c r="G620" s="10"/>
    </row>
    <row r="621" spans="2:10">
      <c r="B621" s="13" t="s">
        <v>991</v>
      </c>
      <c r="C621" s="19" t="s">
        <v>705</v>
      </c>
      <c r="D621" s="16" t="s">
        <v>1026</v>
      </c>
      <c r="E621" s="10" t="s">
        <v>1007</v>
      </c>
      <c r="F621" s="32">
        <v>264603.2</v>
      </c>
      <c r="G621" s="10" t="s">
        <v>1007</v>
      </c>
      <c r="H621" s="90">
        <f>IF(F621&gt;0,0,"")</f>
        <v>0</v>
      </c>
      <c r="I621" s="90">
        <f>IF(H621=0,F621,"")</f>
        <v>264603.2</v>
      </c>
      <c r="J621" s="118" t="str">
        <f>IF(I621&gt;0,"ATRASADO","")</f>
        <v>ATRASADO</v>
      </c>
    </row>
    <row r="622" spans="2:10">
      <c r="B622" s="13"/>
      <c r="C622" s="19"/>
      <c r="D622" s="16"/>
      <c r="E622" s="10"/>
      <c r="F622" s="32"/>
      <c r="G622" s="10"/>
    </row>
    <row r="623" spans="2:10">
      <c r="B623" s="13" t="s">
        <v>925</v>
      </c>
      <c r="C623" s="19" t="s">
        <v>923</v>
      </c>
      <c r="D623" s="16" t="s">
        <v>926</v>
      </c>
      <c r="E623" s="10" t="s">
        <v>887</v>
      </c>
      <c r="F623" s="32">
        <v>6145166.6600000001</v>
      </c>
      <c r="G623" s="10" t="s">
        <v>887</v>
      </c>
      <c r="H623" s="90">
        <f>IF(F623&gt;0,0,"")</f>
        <v>0</v>
      </c>
      <c r="I623" s="90">
        <f>IF(H623=0,F623,"")</f>
        <v>6145166.6600000001</v>
      </c>
      <c r="J623" s="118" t="str">
        <f>IF(I623&gt;0,"ATRASADO","")</f>
        <v>ATRASADO</v>
      </c>
    </row>
    <row r="624" spans="2:10">
      <c r="B624" s="13"/>
      <c r="C624" s="19"/>
      <c r="D624" s="16"/>
      <c r="E624" s="10"/>
      <c r="F624" s="32"/>
      <c r="G624" s="10"/>
    </row>
    <row r="625" spans="2:10">
      <c r="B625" s="13" t="s">
        <v>993</v>
      </c>
      <c r="C625" s="19" t="s">
        <v>102</v>
      </c>
      <c r="D625" s="16" t="s">
        <v>910</v>
      </c>
      <c r="E625" s="10">
        <v>44204</v>
      </c>
      <c r="F625" s="32">
        <v>23600</v>
      </c>
      <c r="G625" s="10">
        <v>44204</v>
      </c>
      <c r="H625" s="90">
        <f t="shared" ref="H625:H630" si="39">IF(F625&gt;0,0,"")</f>
        <v>0</v>
      </c>
      <c r="I625" s="90">
        <f t="shared" ref="I625:I630" si="40">IF(H625=0,F625,"")</f>
        <v>23600</v>
      </c>
      <c r="J625" s="118" t="str">
        <f t="shared" ref="J625:J630" si="41">IF(I625&gt;0,"ATRASADO","")</f>
        <v>ATRASADO</v>
      </c>
    </row>
    <row r="626" spans="2:10">
      <c r="B626" s="13" t="s">
        <v>993</v>
      </c>
      <c r="C626" s="19" t="s">
        <v>102</v>
      </c>
      <c r="D626" s="16" t="s">
        <v>911</v>
      </c>
      <c r="E626" s="10">
        <v>44204</v>
      </c>
      <c r="F626" s="32">
        <v>23600</v>
      </c>
      <c r="G626" s="10">
        <v>44204</v>
      </c>
      <c r="H626" s="90">
        <f t="shared" si="39"/>
        <v>0</v>
      </c>
      <c r="I626" s="90">
        <f t="shared" si="40"/>
        <v>23600</v>
      </c>
      <c r="J626" s="118" t="str">
        <f t="shared" si="41"/>
        <v>ATRASADO</v>
      </c>
    </row>
    <row r="627" spans="2:10">
      <c r="B627" s="13" t="s">
        <v>993</v>
      </c>
      <c r="C627" s="19" t="s">
        <v>102</v>
      </c>
      <c r="D627" s="16" t="s">
        <v>1027</v>
      </c>
      <c r="E627" s="10">
        <v>44204</v>
      </c>
      <c r="F627" s="32">
        <v>23600</v>
      </c>
      <c r="G627" s="10">
        <v>44204</v>
      </c>
      <c r="H627" s="90">
        <f t="shared" si="39"/>
        <v>0</v>
      </c>
      <c r="I627" s="90">
        <f t="shared" si="40"/>
        <v>23600</v>
      </c>
      <c r="J627" s="118" t="str">
        <f t="shared" si="41"/>
        <v>ATRASADO</v>
      </c>
    </row>
    <row r="628" spans="2:10">
      <c r="B628" s="13" t="s">
        <v>993</v>
      </c>
      <c r="C628" s="19" t="s">
        <v>102</v>
      </c>
      <c r="D628" s="16" t="s">
        <v>931</v>
      </c>
      <c r="E628" s="10">
        <v>44204</v>
      </c>
      <c r="F628" s="32">
        <v>23600</v>
      </c>
      <c r="G628" s="10">
        <v>44204</v>
      </c>
      <c r="H628" s="90">
        <f t="shared" si="39"/>
        <v>0</v>
      </c>
      <c r="I628" s="90">
        <f t="shared" si="40"/>
        <v>23600</v>
      </c>
      <c r="J628" s="118" t="str">
        <f t="shared" si="41"/>
        <v>ATRASADO</v>
      </c>
    </row>
    <row r="629" spans="2:10">
      <c r="B629" s="13" t="s">
        <v>993</v>
      </c>
      <c r="C629" s="19" t="s">
        <v>102</v>
      </c>
      <c r="D629" s="16" t="s">
        <v>902</v>
      </c>
      <c r="E629" s="10">
        <v>44204</v>
      </c>
      <c r="F629" s="32">
        <v>23600</v>
      </c>
      <c r="G629" s="10">
        <v>44204</v>
      </c>
      <c r="H629" s="90">
        <f t="shared" si="39"/>
        <v>0</v>
      </c>
      <c r="I629" s="90">
        <f t="shared" si="40"/>
        <v>23600</v>
      </c>
      <c r="J629" s="118" t="str">
        <f t="shared" si="41"/>
        <v>ATRASADO</v>
      </c>
    </row>
    <row r="630" spans="2:10">
      <c r="B630" s="13" t="s">
        <v>993</v>
      </c>
      <c r="C630" s="19" t="s">
        <v>102</v>
      </c>
      <c r="D630" s="16" t="s">
        <v>1028</v>
      </c>
      <c r="E630" s="10">
        <v>44263</v>
      </c>
      <c r="F630" s="32">
        <v>23600</v>
      </c>
      <c r="G630" s="10">
        <v>44263</v>
      </c>
      <c r="H630" s="90">
        <f t="shared" si="39"/>
        <v>0</v>
      </c>
      <c r="I630" s="90">
        <f t="shared" si="40"/>
        <v>23600</v>
      </c>
      <c r="J630" s="118" t="str">
        <f t="shared" si="41"/>
        <v>ATRASADO</v>
      </c>
    </row>
    <row r="631" spans="2:10">
      <c r="B631" s="13"/>
      <c r="C631" s="19"/>
      <c r="D631" s="16"/>
      <c r="E631" s="10"/>
      <c r="F631" s="32"/>
      <c r="G631" s="10"/>
    </row>
    <row r="632" spans="2:10">
      <c r="B632" s="13" t="s">
        <v>518</v>
      </c>
      <c r="C632" s="19" t="s">
        <v>519</v>
      </c>
      <c r="D632" s="35" t="s">
        <v>517</v>
      </c>
      <c r="E632" s="36">
        <v>41569</v>
      </c>
      <c r="F632" s="32">
        <v>135346</v>
      </c>
      <c r="G632" s="36">
        <v>41569</v>
      </c>
      <c r="H632" s="90">
        <f>IF(F632&gt;0,0,"")</f>
        <v>0</v>
      </c>
      <c r="I632" s="90">
        <f>IF(H632=0,F632,"")</f>
        <v>135346</v>
      </c>
      <c r="J632" s="118" t="str">
        <f>IF(I632&gt;0,"ATRASADO","")</f>
        <v>ATRASADO</v>
      </c>
    </row>
    <row r="633" spans="2:10">
      <c r="B633" s="13"/>
      <c r="C633" s="19"/>
      <c r="D633" s="16"/>
      <c r="E633" s="10"/>
      <c r="F633" s="32"/>
      <c r="G633" s="10"/>
    </row>
    <row r="634" spans="2:10">
      <c r="B634" s="108" t="s">
        <v>927</v>
      </c>
      <c r="C634" s="19" t="s">
        <v>705</v>
      </c>
      <c r="D634" s="16" t="s">
        <v>744</v>
      </c>
      <c r="E634" s="10">
        <v>44508</v>
      </c>
      <c r="F634" s="32">
        <v>95491.5</v>
      </c>
      <c r="G634" s="10">
        <v>44508</v>
      </c>
      <c r="H634" s="90">
        <f>IF(F634&gt;0,0,"")</f>
        <v>0</v>
      </c>
      <c r="I634" s="90">
        <f>IF(H634=0,F634,"")</f>
        <v>95491.5</v>
      </c>
      <c r="J634" s="118" t="str">
        <f>IF(I634&gt;0,"ATRASADO","")</f>
        <v>ATRASADO</v>
      </c>
    </row>
    <row r="635" spans="2:10">
      <c r="B635" s="108" t="s">
        <v>927</v>
      </c>
      <c r="C635" s="19" t="s">
        <v>705</v>
      </c>
      <c r="D635" s="16" t="s">
        <v>981</v>
      </c>
      <c r="E635" s="10" t="s">
        <v>1004</v>
      </c>
      <c r="F635" s="32">
        <v>39530</v>
      </c>
      <c r="G635" s="10" t="s">
        <v>1004</v>
      </c>
      <c r="H635" s="90">
        <f>IF(F635&gt;0,0,"")</f>
        <v>0</v>
      </c>
      <c r="I635" s="90">
        <f>IF(H635=0,F635,"")</f>
        <v>39530</v>
      </c>
      <c r="J635" s="118" t="str">
        <f>IF(I635&gt;0,"ATRASADO","")</f>
        <v>ATRASADO</v>
      </c>
    </row>
    <row r="636" spans="2:10">
      <c r="B636" s="108" t="s">
        <v>927</v>
      </c>
      <c r="C636" s="19" t="s">
        <v>705</v>
      </c>
      <c r="D636" s="16" t="s">
        <v>968</v>
      </c>
      <c r="E636" s="10" t="s">
        <v>967</v>
      </c>
      <c r="F636" s="32">
        <v>104931.5</v>
      </c>
      <c r="G636" s="10" t="s">
        <v>967</v>
      </c>
      <c r="H636" s="90">
        <f>IF(F636&gt;0,0,"")</f>
        <v>0</v>
      </c>
      <c r="I636" s="90">
        <f>IF(H636=0,F636,"")</f>
        <v>104931.5</v>
      </c>
      <c r="J636" s="118" t="str">
        <f>IF(I636&gt;0,"ATRASADO","")</f>
        <v>ATRASADO</v>
      </c>
    </row>
    <row r="637" spans="2:10">
      <c r="B637" s="13"/>
      <c r="C637" s="19"/>
      <c r="D637" s="16"/>
      <c r="E637" s="10"/>
      <c r="F637" s="32"/>
      <c r="G637" s="10"/>
    </row>
    <row r="638" spans="2:10">
      <c r="B638" s="13" t="s">
        <v>160</v>
      </c>
      <c r="C638" s="19" t="s">
        <v>146</v>
      </c>
      <c r="D638" s="16">
        <v>1500003420</v>
      </c>
      <c r="E638" s="10">
        <v>41459</v>
      </c>
      <c r="F638" s="32">
        <v>13885.6</v>
      </c>
      <c r="G638" s="10">
        <v>41459</v>
      </c>
      <c r="H638" s="90">
        <f t="shared" ref="H638:H647" si="42">IF(F638&gt;0,0,"")</f>
        <v>0</v>
      </c>
      <c r="I638" s="90">
        <f t="shared" ref="I638:I647" si="43">IF(H638=0,F638,"")</f>
        <v>13885.6</v>
      </c>
      <c r="J638" s="118" t="str">
        <f t="shared" ref="J638:J647" si="44">IF(I638&gt;0,"ATRASADO","")</f>
        <v>ATRASADO</v>
      </c>
    </row>
    <row r="639" spans="2:10">
      <c r="B639" s="13" t="s">
        <v>160</v>
      </c>
      <c r="C639" s="19" t="s">
        <v>146</v>
      </c>
      <c r="D639" s="16">
        <v>1500003427</v>
      </c>
      <c r="E639" s="10">
        <v>41472</v>
      </c>
      <c r="F639" s="32">
        <v>14124.5</v>
      </c>
      <c r="G639" s="10">
        <v>41472</v>
      </c>
      <c r="H639" s="90">
        <f t="shared" si="42"/>
        <v>0</v>
      </c>
      <c r="I639" s="90">
        <f t="shared" si="43"/>
        <v>14124.5</v>
      </c>
      <c r="J639" s="118" t="str">
        <f t="shared" si="44"/>
        <v>ATRASADO</v>
      </c>
    </row>
    <row r="640" spans="2:10">
      <c r="B640" s="13" t="s">
        <v>160</v>
      </c>
      <c r="C640" s="19" t="s">
        <v>146</v>
      </c>
      <c r="D640" s="16">
        <v>1500003435</v>
      </c>
      <c r="E640" s="10">
        <v>41479</v>
      </c>
      <c r="F640" s="32">
        <v>19723.599999999999</v>
      </c>
      <c r="G640" s="10">
        <v>41479</v>
      </c>
      <c r="H640" s="90">
        <f t="shared" si="42"/>
        <v>0</v>
      </c>
      <c r="I640" s="90">
        <f t="shared" si="43"/>
        <v>19723.599999999999</v>
      </c>
      <c r="J640" s="118" t="str">
        <f t="shared" si="44"/>
        <v>ATRASADO</v>
      </c>
    </row>
    <row r="641" spans="2:10">
      <c r="B641" s="13" t="s">
        <v>160</v>
      </c>
      <c r="C641" s="19" t="s">
        <v>146</v>
      </c>
      <c r="D641" s="16">
        <v>1500003436</v>
      </c>
      <c r="E641" s="10">
        <v>41481</v>
      </c>
      <c r="F641" s="32">
        <v>7456</v>
      </c>
      <c r="G641" s="10">
        <v>41481</v>
      </c>
      <c r="H641" s="90">
        <f t="shared" si="42"/>
        <v>0</v>
      </c>
      <c r="I641" s="90">
        <f t="shared" si="43"/>
        <v>7456</v>
      </c>
      <c r="J641" s="118" t="str">
        <f t="shared" si="44"/>
        <v>ATRASADO</v>
      </c>
    </row>
    <row r="642" spans="2:10">
      <c r="B642" s="13" t="s">
        <v>160</v>
      </c>
      <c r="C642" s="19" t="s">
        <v>146</v>
      </c>
      <c r="D642" s="16">
        <v>1500003437</v>
      </c>
      <c r="E642" s="10">
        <v>41485</v>
      </c>
      <c r="F642" s="32">
        <v>19723.599999999999</v>
      </c>
      <c r="G642" s="10">
        <v>41485</v>
      </c>
      <c r="H642" s="90">
        <f t="shared" si="42"/>
        <v>0</v>
      </c>
      <c r="I642" s="90">
        <f t="shared" si="43"/>
        <v>19723.599999999999</v>
      </c>
      <c r="J642" s="118" t="str">
        <f t="shared" si="44"/>
        <v>ATRASADO</v>
      </c>
    </row>
    <row r="643" spans="2:10">
      <c r="B643" s="13" t="s">
        <v>160</v>
      </c>
      <c r="C643" s="19" t="s">
        <v>146</v>
      </c>
      <c r="D643" s="16">
        <v>1500003451</v>
      </c>
      <c r="E643" s="10">
        <v>41495</v>
      </c>
      <c r="F643" s="32">
        <v>37692</v>
      </c>
      <c r="G643" s="10">
        <v>41495</v>
      </c>
      <c r="H643" s="90">
        <f t="shared" si="42"/>
        <v>0</v>
      </c>
      <c r="I643" s="90">
        <f t="shared" si="43"/>
        <v>37692</v>
      </c>
      <c r="J643" s="118" t="str">
        <f t="shared" si="44"/>
        <v>ATRASADO</v>
      </c>
    </row>
    <row r="644" spans="2:10">
      <c r="B644" s="13" t="s">
        <v>160</v>
      </c>
      <c r="C644" s="19" t="s">
        <v>146</v>
      </c>
      <c r="D644" s="16">
        <v>1500003449</v>
      </c>
      <c r="E644" s="10">
        <v>41494</v>
      </c>
      <c r="F644" s="32">
        <v>8816</v>
      </c>
      <c r="G644" s="10">
        <v>41494</v>
      </c>
      <c r="H644" s="90">
        <f t="shared" si="42"/>
        <v>0</v>
      </c>
      <c r="I644" s="90">
        <f t="shared" si="43"/>
        <v>8816</v>
      </c>
      <c r="J644" s="118" t="str">
        <f t="shared" si="44"/>
        <v>ATRASADO</v>
      </c>
    </row>
    <row r="645" spans="2:10">
      <c r="B645" s="13" t="s">
        <v>160</v>
      </c>
      <c r="C645" s="19" t="s">
        <v>146</v>
      </c>
      <c r="D645" s="16">
        <v>1500003450</v>
      </c>
      <c r="E645" s="10">
        <v>41494</v>
      </c>
      <c r="F645" s="32">
        <v>15334</v>
      </c>
      <c r="G645" s="10">
        <v>41494</v>
      </c>
      <c r="H645" s="90">
        <f t="shared" si="42"/>
        <v>0</v>
      </c>
      <c r="I645" s="90">
        <f t="shared" si="43"/>
        <v>15334</v>
      </c>
      <c r="J645" s="118" t="str">
        <f t="shared" si="44"/>
        <v>ATRASADO</v>
      </c>
    </row>
    <row r="646" spans="2:10">
      <c r="B646" s="13" t="s">
        <v>160</v>
      </c>
      <c r="C646" s="19" t="s">
        <v>146</v>
      </c>
      <c r="D646" s="16">
        <v>1500003452</v>
      </c>
      <c r="E646" s="10">
        <v>41499</v>
      </c>
      <c r="F646" s="32">
        <v>21175</v>
      </c>
      <c r="G646" s="10">
        <v>41499</v>
      </c>
      <c r="H646" s="90">
        <f t="shared" si="42"/>
        <v>0</v>
      </c>
      <c r="I646" s="90">
        <f t="shared" si="43"/>
        <v>21175</v>
      </c>
      <c r="J646" s="118" t="str">
        <f t="shared" si="44"/>
        <v>ATRASADO</v>
      </c>
    </row>
    <row r="647" spans="2:10">
      <c r="B647" s="13" t="s">
        <v>160</v>
      </c>
      <c r="C647" s="19" t="s">
        <v>146</v>
      </c>
      <c r="D647" s="16" t="s">
        <v>1029</v>
      </c>
      <c r="E647" s="10">
        <v>44235</v>
      </c>
      <c r="F647" s="32">
        <v>114017.5</v>
      </c>
      <c r="G647" s="10">
        <v>44235</v>
      </c>
      <c r="H647" s="90">
        <f t="shared" si="42"/>
        <v>0</v>
      </c>
      <c r="I647" s="90">
        <f t="shared" si="43"/>
        <v>114017.5</v>
      </c>
      <c r="J647" s="118" t="str">
        <f t="shared" si="44"/>
        <v>ATRASADO</v>
      </c>
    </row>
    <row r="648" spans="2:10">
      <c r="B648" s="13"/>
      <c r="C648" s="19"/>
      <c r="D648" s="12"/>
      <c r="E648" s="10"/>
      <c r="F648" s="32"/>
      <c r="G648" s="10"/>
    </row>
    <row r="649" spans="2:10">
      <c r="B649" s="13" t="s">
        <v>895</v>
      </c>
      <c r="C649" s="19" t="s">
        <v>102</v>
      </c>
      <c r="D649" s="12" t="s">
        <v>1030</v>
      </c>
      <c r="E649" s="10">
        <v>44508</v>
      </c>
      <c r="F649" s="32">
        <v>35400</v>
      </c>
      <c r="G649" s="10">
        <v>44508</v>
      </c>
      <c r="H649" s="90">
        <f>IF(F649&gt;0,0,"")</f>
        <v>0</v>
      </c>
      <c r="I649" s="90">
        <f>IF(H649=0,F649,"")</f>
        <v>35400</v>
      </c>
      <c r="J649" s="118" t="str">
        <f>IF(I649&gt;0,"ATRASADO","")</f>
        <v>ATRASADO</v>
      </c>
    </row>
    <row r="650" spans="2:10">
      <c r="B650" s="13"/>
      <c r="C650" s="19"/>
      <c r="D650" s="12"/>
      <c r="E650" s="10"/>
      <c r="F650" s="32"/>
      <c r="G650" s="10"/>
    </row>
    <row r="651" spans="2:10" ht="24.75">
      <c r="B651" s="13" t="s">
        <v>496</v>
      </c>
      <c r="C651" s="19" t="s">
        <v>497</v>
      </c>
      <c r="D651" s="12">
        <v>1500000362</v>
      </c>
      <c r="E651" s="10">
        <v>42576</v>
      </c>
      <c r="F651" s="32">
        <v>19824</v>
      </c>
      <c r="G651" s="10">
        <v>42576</v>
      </c>
      <c r="H651" s="90">
        <f>IF(F651&gt;0,0,"")</f>
        <v>0</v>
      </c>
      <c r="I651" s="90">
        <f>IF(H651=0,F651,"")</f>
        <v>19824</v>
      </c>
      <c r="J651" s="118" t="str">
        <f>IF(I651&gt;0,"ATRASADO","")</f>
        <v>ATRASADO</v>
      </c>
    </row>
    <row r="652" spans="2:10">
      <c r="B652" s="13"/>
      <c r="C652" s="19"/>
      <c r="D652" s="16"/>
      <c r="E652" s="10"/>
      <c r="F652" s="32"/>
      <c r="G652" s="10"/>
    </row>
    <row r="653" spans="2:10">
      <c r="B653" s="13" t="s">
        <v>163</v>
      </c>
      <c r="C653" s="19" t="s">
        <v>164</v>
      </c>
      <c r="D653" s="16">
        <v>1500000017</v>
      </c>
      <c r="E653" s="10">
        <v>42879</v>
      </c>
      <c r="F653" s="32">
        <v>14671.89</v>
      </c>
      <c r="G653" s="10">
        <v>42879</v>
      </c>
      <c r="H653" s="90">
        <f>IF(F653&gt;0,0,"")</f>
        <v>0</v>
      </c>
      <c r="I653" s="90">
        <f>IF(H653=0,F653,"")</f>
        <v>14671.89</v>
      </c>
      <c r="J653" s="118" t="str">
        <f>IF(I653&gt;0,"ATRASADO","")</f>
        <v>ATRASADO</v>
      </c>
    </row>
    <row r="654" spans="2:10">
      <c r="B654" s="13" t="s">
        <v>163</v>
      </c>
      <c r="C654" s="19" t="s">
        <v>164</v>
      </c>
      <c r="D654" s="16">
        <v>1500000018</v>
      </c>
      <c r="E654" s="10">
        <v>42888</v>
      </c>
      <c r="F654" s="32">
        <v>73000</v>
      </c>
      <c r="G654" s="10">
        <v>42888</v>
      </c>
      <c r="H654" s="90">
        <f>IF(F654&gt;0,0,"")</f>
        <v>0</v>
      </c>
      <c r="I654" s="90">
        <f>IF(H654=0,F654,"")</f>
        <v>73000</v>
      </c>
      <c r="J654" s="118" t="str">
        <f>IF(I654&gt;0,"ATRASADO","")</f>
        <v>ATRASADO</v>
      </c>
    </row>
    <row r="655" spans="2:10">
      <c r="B655" s="13" t="s">
        <v>163</v>
      </c>
      <c r="C655" s="19" t="s">
        <v>164</v>
      </c>
      <c r="D655" s="16">
        <v>1500000019</v>
      </c>
      <c r="E655" s="10">
        <v>42899</v>
      </c>
      <c r="F655" s="32">
        <v>70250</v>
      </c>
      <c r="G655" s="10">
        <v>42899</v>
      </c>
      <c r="H655" s="90">
        <f>IF(F655&gt;0,0,"")</f>
        <v>0</v>
      </c>
      <c r="I655" s="90">
        <f>IF(H655=0,F655,"")</f>
        <v>70250</v>
      </c>
      <c r="J655" s="118" t="str">
        <f>IF(I655&gt;0,"ATRASADO","")</f>
        <v>ATRASADO</v>
      </c>
    </row>
    <row r="656" spans="2:10">
      <c r="B656" s="13"/>
      <c r="C656" s="19"/>
      <c r="D656" s="16"/>
      <c r="E656" s="10"/>
      <c r="F656" s="32"/>
      <c r="G656" s="10"/>
    </row>
    <row r="657" spans="2:10">
      <c r="B657" s="13" t="s">
        <v>88</v>
      </c>
      <c r="C657" s="19" t="s">
        <v>21</v>
      </c>
      <c r="D657" s="21" t="s">
        <v>87</v>
      </c>
      <c r="E657" s="24">
        <v>42597</v>
      </c>
      <c r="F657" s="32">
        <v>14278</v>
      </c>
      <c r="G657" s="24">
        <v>42597</v>
      </c>
      <c r="H657" s="90">
        <f>IF(F657&gt;0,0,"")</f>
        <v>0</v>
      </c>
      <c r="I657" s="90">
        <f>IF(H657=0,F657,"")</f>
        <v>14278</v>
      </c>
      <c r="J657" s="118" t="str">
        <f>IF(I657&gt;0,"ATRASADO","")</f>
        <v>ATRASADO</v>
      </c>
    </row>
    <row r="658" spans="2:10">
      <c r="B658" s="13" t="s">
        <v>88</v>
      </c>
      <c r="C658" s="19" t="s">
        <v>21</v>
      </c>
      <c r="D658" s="21" t="s">
        <v>89</v>
      </c>
      <c r="E658" s="24">
        <v>42628</v>
      </c>
      <c r="F658" s="32">
        <v>14278</v>
      </c>
      <c r="G658" s="24">
        <v>42628</v>
      </c>
      <c r="H658" s="90">
        <f>IF(F658&gt;0,0,"")</f>
        <v>0</v>
      </c>
      <c r="I658" s="90">
        <f>IF(H658=0,F658,"")</f>
        <v>14278</v>
      </c>
      <c r="J658" s="118" t="str">
        <f>IF(I658&gt;0,"ATRASADO","")</f>
        <v>ATRASADO</v>
      </c>
    </row>
    <row r="659" spans="2:10">
      <c r="B659" s="13"/>
      <c r="C659" s="19"/>
      <c r="D659" s="21"/>
      <c r="E659" s="24"/>
      <c r="F659" s="32"/>
      <c r="G659" s="24"/>
    </row>
    <row r="660" spans="2:10">
      <c r="B660" s="13" t="s">
        <v>161</v>
      </c>
      <c r="C660" s="19" t="s">
        <v>162</v>
      </c>
      <c r="D660" s="16">
        <v>1500008718</v>
      </c>
      <c r="E660" s="10">
        <v>41444</v>
      </c>
      <c r="F660" s="32">
        <v>69305</v>
      </c>
      <c r="G660" s="10">
        <v>41444</v>
      </c>
      <c r="H660" s="90">
        <f>IF(F660&gt;0,0,"")</f>
        <v>0</v>
      </c>
      <c r="I660" s="90">
        <f>IF(H660=0,F660,"")</f>
        <v>69305</v>
      </c>
      <c r="J660" s="118" t="str">
        <f>IF(I660&gt;0,"ATRASADO","")</f>
        <v>ATRASADO</v>
      </c>
    </row>
    <row r="661" spans="2:10">
      <c r="B661" s="13"/>
      <c r="C661" s="19"/>
      <c r="D661" s="16"/>
      <c r="E661" s="10"/>
      <c r="F661" s="32"/>
      <c r="G661" s="10"/>
    </row>
    <row r="662" spans="2:10">
      <c r="B662" s="13" t="s">
        <v>55</v>
      </c>
      <c r="C662" s="19" t="s">
        <v>21</v>
      </c>
      <c r="D662" s="40" t="s">
        <v>273</v>
      </c>
      <c r="E662" s="11">
        <v>41060</v>
      </c>
      <c r="F662" s="32">
        <v>100000</v>
      </c>
      <c r="G662" s="10">
        <v>41060</v>
      </c>
      <c r="H662" s="90">
        <f t="shared" ref="H662:H717" si="45">IF(F662&gt;0,0,"")</f>
        <v>0</v>
      </c>
      <c r="I662" s="90">
        <f t="shared" ref="I662:I717" si="46">IF(H662=0,F662,"")</f>
        <v>100000</v>
      </c>
      <c r="J662" s="118" t="str">
        <f t="shared" ref="J662:J717" si="47">IF(I662&gt;0,"ATRASADO","")</f>
        <v>ATRASADO</v>
      </c>
    </row>
    <row r="663" spans="2:10">
      <c r="B663" s="13" t="s">
        <v>55</v>
      </c>
      <c r="C663" s="19" t="s">
        <v>21</v>
      </c>
      <c r="D663" s="18" t="s">
        <v>54</v>
      </c>
      <c r="E663" s="23">
        <v>41182</v>
      </c>
      <c r="F663" s="32">
        <v>100000</v>
      </c>
      <c r="G663" s="10">
        <v>41182</v>
      </c>
      <c r="H663" s="90">
        <f t="shared" si="45"/>
        <v>0</v>
      </c>
      <c r="I663" s="90">
        <f t="shared" si="46"/>
        <v>100000</v>
      </c>
      <c r="J663" s="118" t="str">
        <f t="shared" si="47"/>
        <v>ATRASADO</v>
      </c>
    </row>
    <row r="664" spans="2:10">
      <c r="B664" s="13" t="s">
        <v>55</v>
      </c>
      <c r="C664" s="19" t="s">
        <v>21</v>
      </c>
      <c r="D664" s="18" t="s">
        <v>47</v>
      </c>
      <c r="E664" s="23">
        <v>41213</v>
      </c>
      <c r="F664" s="32">
        <v>100000</v>
      </c>
      <c r="G664" s="10">
        <v>41213</v>
      </c>
      <c r="H664" s="90">
        <f t="shared" si="45"/>
        <v>0</v>
      </c>
      <c r="I664" s="90">
        <f t="shared" si="46"/>
        <v>100000</v>
      </c>
      <c r="J664" s="118" t="str">
        <f t="shared" si="47"/>
        <v>ATRASADO</v>
      </c>
    </row>
    <row r="665" spans="2:10">
      <c r="B665" s="13" t="s">
        <v>55</v>
      </c>
      <c r="C665" s="19" t="s">
        <v>21</v>
      </c>
      <c r="D665" s="18" t="s">
        <v>37</v>
      </c>
      <c r="E665" s="23" t="s">
        <v>56</v>
      </c>
      <c r="F665" s="32">
        <v>100000</v>
      </c>
      <c r="G665" s="10" t="s">
        <v>56</v>
      </c>
      <c r="H665" s="90">
        <f t="shared" si="45"/>
        <v>0</v>
      </c>
      <c r="I665" s="90">
        <f t="shared" si="46"/>
        <v>100000</v>
      </c>
      <c r="J665" s="118" t="str">
        <f t="shared" si="47"/>
        <v>ATRASADO</v>
      </c>
    </row>
    <row r="666" spans="2:10">
      <c r="B666" s="13" t="s">
        <v>55</v>
      </c>
      <c r="C666" s="19" t="s">
        <v>21</v>
      </c>
      <c r="D666" s="18" t="s">
        <v>39</v>
      </c>
      <c r="E666" s="23" t="s">
        <v>57</v>
      </c>
      <c r="F666" s="32">
        <v>100000</v>
      </c>
      <c r="G666" s="10" t="s">
        <v>57</v>
      </c>
      <c r="H666" s="90">
        <f t="shared" si="45"/>
        <v>0</v>
      </c>
      <c r="I666" s="90">
        <f t="shared" si="46"/>
        <v>100000</v>
      </c>
      <c r="J666" s="118" t="str">
        <f t="shared" si="47"/>
        <v>ATRASADO</v>
      </c>
    </row>
    <row r="667" spans="2:10">
      <c r="B667" s="13" t="s">
        <v>55</v>
      </c>
      <c r="C667" s="19" t="s">
        <v>21</v>
      </c>
      <c r="D667" s="15" t="s">
        <v>40</v>
      </c>
      <c r="E667" s="23">
        <v>41333</v>
      </c>
      <c r="F667" s="32">
        <v>100000</v>
      </c>
      <c r="G667" s="10">
        <v>41333</v>
      </c>
      <c r="H667" s="90">
        <f t="shared" si="45"/>
        <v>0</v>
      </c>
      <c r="I667" s="90">
        <f t="shared" si="46"/>
        <v>100000</v>
      </c>
      <c r="J667" s="118" t="str">
        <f t="shared" si="47"/>
        <v>ATRASADO</v>
      </c>
    </row>
    <row r="668" spans="2:10">
      <c r="B668" s="13" t="s">
        <v>55</v>
      </c>
      <c r="C668" s="19" t="s">
        <v>21</v>
      </c>
      <c r="D668" s="15" t="s">
        <v>41</v>
      </c>
      <c r="E668" s="23">
        <v>41333</v>
      </c>
      <c r="F668" s="32">
        <v>100000</v>
      </c>
      <c r="G668" s="10">
        <v>41333</v>
      </c>
      <c r="H668" s="90">
        <f t="shared" si="45"/>
        <v>0</v>
      </c>
      <c r="I668" s="90">
        <f t="shared" si="46"/>
        <v>100000</v>
      </c>
      <c r="J668" s="118" t="str">
        <f t="shared" si="47"/>
        <v>ATRASADO</v>
      </c>
    </row>
    <row r="669" spans="2:10">
      <c r="B669" s="13" t="s">
        <v>55</v>
      </c>
      <c r="C669" s="19" t="s">
        <v>21</v>
      </c>
      <c r="D669" s="15" t="s">
        <v>42</v>
      </c>
      <c r="E669" s="23">
        <v>41364</v>
      </c>
      <c r="F669" s="32">
        <v>100000</v>
      </c>
      <c r="G669" s="10">
        <v>41364</v>
      </c>
      <c r="H669" s="90">
        <f t="shared" si="45"/>
        <v>0</v>
      </c>
      <c r="I669" s="90">
        <f t="shared" si="46"/>
        <v>100000</v>
      </c>
      <c r="J669" s="118" t="str">
        <f t="shared" si="47"/>
        <v>ATRASADO</v>
      </c>
    </row>
    <row r="670" spans="2:10">
      <c r="B670" s="13" t="s">
        <v>55</v>
      </c>
      <c r="C670" s="19" t="s">
        <v>21</v>
      </c>
      <c r="D670" s="15" t="s">
        <v>43</v>
      </c>
      <c r="E670" s="23">
        <v>41394</v>
      </c>
      <c r="F670" s="32">
        <v>100000</v>
      </c>
      <c r="G670" s="10">
        <v>41394</v>
      </c>
      <c r="H670" s="90">
        <f t="shared" si="45"/>
        <v>0</v>
      </c>
      <c r="I670" s="90">
        <f t="shared" si="46"/>
        <v>100000</v>
      </c>
      <c r="J670" s="118" t="str">
        <f t="shared" si="47"/>
        <v>ATRASADO</v>
      </c>
    </row>
    <row r="671" spans="2:10">
      <c r="B671" s="13" t="s">
        <v>55</v>
      </c>
      <c r="C671" s="19" t="s">
        <v>21</v>
      </c>
      <c r="D671" s="15" t="s">
        <v>44</v>
      </c>
      <c r="E671" s="23">
        <v>41425</v>
      </c>
      <c r="F671" s="32">
        <v>100000</v>
      </c>
      <c r="G671" s="10">
        <v>41425</v>
      </c>
      <c r="H671" s="90">
        <f t="shared" si="45"/>
        <v>0</v>
      </c>
      <c r="I671" s="90">
        <f t="shared" si="46"/>
        <v>100000</v>
      </c>
      <c r="J671" s="118" t="str">
        <f t="shared" si="47"/>
        <v>ATRASADO</v>
      </c>
    </row>
    <row r="672" spans="2:10">
      <c r="B672" s="13" t="s">
        <v>55</v>
      </c>
      <c r="C672" s="19" t="s">
        <v>21</v>
      </c>
      <c r="D672" s="15" t="s">
        <v>30</v>
      </c>
      <c r="E672" s="23">
        <v>41455</v>
      </c>
      <c r="F672" s="32">
        <v>100000</v>
      </c>
      <c r="G672" s="10">
        <v>41455</v>
      </c>
      <c r="H672" s="90">
        <f t="shared" si="45"/>
        <v>0</v>
      </c>
      <c r="I672" s="90">
        <f t="shared" si="46"/>
        <v>100000</v>
      </c>
      <c r="J672" s="118" t="str">
        <f t="shared" si="47"/>
        <v>ATRASADO</v>
      </c>
    </row>
    <row r="673" spans="2:10">
      <c r="B673" s="13" t="s">
        <v>55</v>
      </c>
      <c r="C673" s="19" t="s">
        <v>21</v>
      </c>
      <c r="D673" s="15" t="s">
        <v>32</v>
      </c>
      <c r="E673" s="23">
        <v>41485</v>
      </c>
      <c r="F673" s="32">
        <v>100000</v>
      </c>
      <c r="G673" s="10">
        <v>41485</v>
      </c>
      <c r="H673" s="90">
        <f t="shared" si="45"/>
        <v>0</v>
      </c>
      <c r="I673" s="90">
        <f t="shared" si="46"/>
        <v>100000</v>
      </c>
      <c r="J673" s="118" t="str">
        <f t="shared" si="47"/>
        <v>ATRASADO</v>
      </c>
    </row>
    <row r="674" spans="2:10">
      <c r="B674" s="13" t="s">
        <v>55</v>
      </c>
      <c r="C674" s="19" t="s">
        <v>21</v>
      </c>
      <c r="D674" s="15" t="s">
        <v>33</v>
      </c>
      <c r="E674" s="23">
        <v>41501</v>
      </c>
      <c r="F674" s="32">
        <v>100000</v>
      </c>
      <c r="G674" s="10">
        <v>41501</v>
      </c>
      <c r="H674" s="90">
        <f t="shared" si="45"/>
        <v>0</v>
      </c>
      <c r="I674" s="90">
        <f t="shared" si="46"/>
        <v>100000</v>
      </c>
      <c r="J674" s="118" t="str">
        <f t="shared" si="47"/>
        <v>ATRASADO</v>
      </c>
    </row>
    <row r="675" spans="2:10">
      <c r="B675" s="13" t="s">
        <v>55</v>
      </c>
      <c r="C675" s="19" t="s">
        <v>21</v>
      </c>
      <c r="D675" s="15" t="s">
        <v>45</v>
      </c>
      <c r="E675" s="23">
        <v>41547</v>
      </c>
      <c r="F675" s="32">
        <v>100000</v>
      </c>
      <c r="G675" s="10">
        <v>41547</v>
      </c>
      <c r="H675" s="90">
        <f t="shared" si="45"/>
        <v>0</v>
      </c>
      <c r="I675" s="90">
        <f t="shared" si="46"/>
        <v>100000</v>
      </c>
      <c r="J675" s="118" t="str">
        <f t="shared" si="47"/>
        <v>ATRASADO</v>
      </c>
    </row>
    <row r="676" spans="2:10">
      <c r="B676" s="13" t="s">
        <v>55</v>
      </c>
      <c r="C676" s="19" t="s">
        <v>21</v>
      </c>
      <c r="D676" s="15" t="s">
        <v>46</v>
      </c>
      <c r="E676" s="23">
        <v>41577</v>
      </c>
      <c r="F676" s="32">
        <v>100000</v>
      </c>
      <c r="G676" s="10">
        <v>41577</v>
      </c>
      <c r="H676" s="90">
        <f t="shared" si="45"/>
        <v>0</v>
      </c>
      <c r="I676" s="90">
        <f t="shared" si="46"/>
        <v>100000</v>
      </c>
      <c r="J676" s="118" t="str">
        <f t="shared" si="47"/>
        <v>ATRASADO</v>
      </c>
    </row>
    <row r="677" spans="2:10">
      <c r="B677" s="13" t="s">
        <v>55</v>
      </c>
      <c r="C677" s="19" t="s">
        <v>21</v>
      </c>
      <c r="D677" s="15" t="s">
        <v>49</v>
      </c>
      <c r="E677" s="23">
        <v>41608</v>
      </c>
      <c r="F677" s="32">
        <v>100000</v>
      </c>
      <c r="G677" s="10">
        <v>41608</v>
      </c>
      <c r="H677" s="90">
        <f t="shared" si="45"/>
        <v>0</v>
      </c>
      <c r="I677" s="90">
        <f t="shared" si="46"/>
        <v>100000</v>
      </c>
      <c r="J677" s="118" t="str">
        <f t="shared" si="47"/>
        <v>ATRASADO</v>
      </c>
    </row>
    <row r="678" spans="2:10">
      <c r="B678" s="13" t="s">
        <v>55</v>
      </c>
      <c r="C678" s="19" t="s">
        <v>21</v>
      </c>
      <c r="D678" s="15" t="s">
        <v>50</v>
      </c>
      <c r="E678" s="23">
        <v>41638</v>
      </c>
      <c r="F678" s="32">
        <v>100000</v>
      </c>
      <c r="G678" s="10">
        <v>41638</v>
      </c>
      <c r="H678" s="90">
        <f t="shared" si="45"/>
        <v>0</v>
      </c>
      <c r="I678" s="90">
        <f t="shared" si="46"/>
        <v>100000</v>
      </c>
      <c r="J678" s="118" t="str">
        <f t="shared" si="47"/>
        <v>ATRASADO</v>
      </c>
    </row>
    <row r="679" spans="2:10">
      <c r="B679" s="13" t="s">
        <v>55</v>
      </c>
      <c r="C679" s="19" t="s">
        <v>21</v>
      </c>
      <c r="D679" s="15" t="s">
        <v>51</v>
      </c>
      <c r="E679" s="23">
        <v>41669</v>
      </c>
      <c r="F679" s="32">
        <v>100000</v>
      </c>
      <c r="G679" s="10">
        <v>41669</v>
      </c>
      <c r="H679" s="90">
        <f t="shared" si="45"/>
        <v>0</v>
      </c>
      <c r="I679" s="90">
        <f t="shared" si="46"/>
        <v>100000</v>
      </c>
      <c r="J679" s="118" t="str">
        <f t="shared" si="47"/>
        <v>ATRASADO</v>
      </c>
    </row>
    <row r="680" spans="2:10">
      <c r="B680" s="13" t="s">
        <v>55</v>
      </c>
      <c r="C680" s="19" t="s">
        <v>21</v>
      </c>
      <c r="D680" s="15" t="s">
        <v>52</v>
      </c>
      <c r="E680" s="23">
        <v>41698</v>
      </c>
      <c r="F680" s="32">
        <v>100000</v>
      </c>
      <c r="G680" s="10">
        <v>41698</v>
      </c>
      <c r="H680" s="90">
        <f t="shared" si="45"/>
        <v>0</v>
      </c>
      <c r="I680" s="90">
        <f t="shared" si="46"/>
        <v>100000</v>
      </c>
      <c r="J680" s="118" t="str">
        <f t="shared" si="47"/>
        <v>ATRASADO</v>
      </c>
    </row>
    <row r="681" spans="2:10">
      <c r="B681" s="13" t="s">
        <v>55</v>
      </c>
      <c r="C681" s="19" t="s">
        <v>21</v>
      </c>
      <c r="D681" s="15" t="s">
        <v>53</v>
      </c>
      <c r="E681" s="23">
        <v>41729</v>
      </c>
      <c r="F681" s="32">
        <v>100000</v>
      </c>
      <c r="G681" s="10">
        <v>41729</v>
      </c>
      <c r="H681" s="90">
        <f t="shared" si="45"/>
        <v>0</v>
      </c>
      <c r="I681" s="90">
        <f t="shared" si="46"/>
        <v>100000</v>
      </c>
      <c r="J681" s="118" t="str">
        <f t="shared" si="47"/>
        <v>ATRASADO</v>
      </c>
    </row>
    <row r="682" spans="2:10">
      <c r="B682" s="13" t="s">
        <v>55</v>
      </c>
      <c r="C682" s="19" t="s">
        <v>21</v>
      </c>
      <c r="D682" s="15" t="s">
        <v>58</v>
      </c>
      <c r="E682" s="23">
        <v>41759</v>
      </c>
      <c r="F682" s="32">
        <v>100000</v>
      </c>
      <c r="G682" s="10">
        <v>41759</v>
      </c>
      <c r="H682" s="90">
        <f t="shared" si="45"/>
        <v>0</v>
      </c>
      <c r="I682" s="90">
        <f t="shared" si="46"/>
        <v>100000</v>
      </c>
      <c r="J682" s="118" t="str">
        <f t="shared" si="47"/>
        <v>ATRASADO</v>
      </c>
    </row>
    <row r="683" spans="2:10">
      <c r="B683" s="13" t="s">
        <v>55</v>
      </c>
      <c r="C683" s="19" t="s">
        <v>21</v>
      </c>
      <c r="D683" s="15" t="s">
        <v>59</v>
      </c>
      <c r="E683" s="23">
        <v>41774</v>
      </c>
      <c r="F683" s="32">
        <v>100000</v>
      </c>
      <c r="G683" s="10">
        <v>41774</v>
      </c>
      <c r="H683" s="90">
        <f t="shared" si="45"/>
        <v>0</v>
      </c>
      <c r="I683" s="90">
        <f t="shared" si="46"/>
        <v>100000</v>
      </c>
      <c r="J683" s="118" t="str">
        <f t="shared" si="47"/>
        <v>ATRASADO</v>
      </c>
    </row>
    <row r="684" spans="2:10">
      <c r="B684" s="13" t="s">
        <v>55</v>
      </c>
      <c r="C684" s="19" t="s">
        <v>21</v>
      </c>
      <c r="D684" s="15" t="s">
        <v>60</v>
      </c>
      <c r="E684" s="23">
        <v>41791</v>
      </c>
      <c r="F684" s="32">
        <v>100000</v>
      </c>
      <c r="G684" s="10">
        <v>41791</v>
      </c>
      <c r="H684" s="90">
        <f t="shared" si="45"/>
        <v>0</v>
      </c>
      <c r="I684" s="90">
        <f t="shared" si="46"/>
        <v>100000</v>
      </c>
      <c r="J684" s="118" t="str">
        <f t="shared" si="47"/>
        <v>ATRASADO</v>
      </c>
    </row>
    <row r="685" spans="2:10">
      <c r="B685" s="13" t="s">
        <v>55</v>
      </c>
      <c r="C685" s="19" t="s">
        <v>21</v>
      </c>
      <c r="D685" s="15" t="s">
        <v>61</v>
      </c>
      <c r="E685" s="23">
        <v>41821</v>
      </c>
      <c r="F685" s="32">
        <v>100000</v>
      </c>
      <c r="G685" s="10">
        <v>41821</v>
      </c>
      <c r="H685" s="90">
        <f t="shared" si="45"/>
        <v>0</v>
      </c>
      <c r="I685" s="90">
        <f t="shared" si="46"/>
        <v>100000</v>
      </c>
      <c r="J685" s="118" t="str">
        <f t="shared" si="47"/>
        <v>ATRASADO</v>
      </c>
    </row>
    <row r="686" spans="2:10">
      <c r="B686" s="13" t="s">
        <v>55</v>
      </c>
      <c r="C686" s="19" t="s">
        <v>21</v>
      </c>
      <c r="D686" s="15" t="s">
        <v>62</v>
      </c>
      <c r="E686" s="23">
        <v>41852</v>
      </c>
      <c r="F686" s="32">
        <v>100000</v>
      </c>
      <c r="G686" s="10">
        <v>41852</v>
      </c>
      <c r="H686" s="90">
        <f t="shared" si="45"/>
        <v>0</v>
      </c>
      <c r="I686" s="90">
        <f t="shared" si="46"/>
        <v>100000</v>
      </c>
      <c r="J686" s="118" t="str">
        <f t="shared" si="47"/>
        <v>ATRASADO</v>
      </c>
    </row>
    <row r="687" spans="2:10">
      <c r="B687" s="13" t="s">
        <v>55</v>
      </c>
      <c r="C687" s="19" t="s">
        <v>21</v>
      </c>
      <c r="D687" s="15" t="s">
        <v>63</v>
      </c>
      <c r="E687" s="23">
        <v>41883</v>
      </c>
      <c r="F687" s="32">
        <v>100000</v>
      </c>
      <c r="G687" s="10">
        <v>41883</v>
      </c>
      <c r="H687" s="90">
        <f t="shared" si="45"/>
        <v>0</v>
      </c>
      <c r="I687" s="90">
        <f t="shared" si="46"/>
        <v>100000</v>
      </c>
      <c r="J687" s="118" t="str">
        <f t="shared" si="47"/>
        <v>ATRASADO</v>
      </c>
    </row>
    <row r="688" spans="2:10">
      <c r="B688" s="13" t="s">
        <v>55</v>
      </c>
      <c r="C688" s="19" t="s">
        <v>21</v>
      </c>
      <c r="D688" s="15" t="s">
        <v>64</v>
      </c>
      <c r="E688" s="23">
        <v>41913</v>
      </c>
      <c r="F688" s="32">
        <v>100000</v>
      </c>
      <c r="G688" s="10">
        <v>41913</v>
      </c>
      <c r="H688" s="90">
        <f t="shared" si="45"/>
        <v>0</v>
      </c>
      <c r="I688" s="90">
        <f t="shared" si="46"/>
        <v>100000</v>
      </c>
      <c r="J688" s="118" t="str">
        <f t="shared" si="47"/>
        <v>ATRASADO</v>
      </c>
    </row>
    <row r="689" spans="2:10">
      <c r="B689" s="13" t="s">
        <v>55</v>
      </c>
      <c r="C689" s="19" t="s">
        <v>21</v>
      </c>
      <c r="D689" s="15" t="s">
        <v>65</v>
      </c>
      <c r="E689" s="23">
        <v>41944</v>
      </c>
      <c r="F689" s="32">
        <v>100000</v>
      </c>
      <c r="G689" s="10">
        <v>41944</v>
      </c>
      <c r="H689" s="90">
        <f t="shared" si="45"/>
        <v>0</v>
      </c>
      <c r="I689" s="90">
        <f t="shared" si="46"/>
        <v>100000</v>
      </c>
      <c r="J689" s="118" t="str">
        <f t="shared" si="47"/>
        <v>ATRASADO</v>
      </c>
    </row>
    <row r="690" spans="2:10">
      <c r="B690" s="13" t="s">
        <v>55</v>
      </c>
      <c r="C690" s="19" t="s">
        <v>21</v>
      </c>
      <c r="D690" s="15" t="s">
        <v>66</v>
      </c>
      <c r="E690" s="23">
        <v>41974</v>
      </c>
      <c r="F690" s="32">
        <v>100000</v>
      </c>
      <c r="G690" s="10">
        <v>41974</v>
      </c>
      <c r="H690" s="90">
        <f t="shared" si="45"/>
        <v>0</v>
      </c>
      <c r="I690" s="90">
        <f t="shared" si="46"/>
        <v>100000</v>
      </c>
      <c r="J690" s="118" t="str">
        <f t="shared" si="47"/>
        <v>ATRASADO</v>
      </c>
    </row>
    <row r="691" spans="2:10">
      <c r="B691" s="13" t="s">
        <v>55</v>
      </c>
      <c r="C691" s="19" t="s">
        <v>21</v>
      </c>
      <c r="D691" s="21" t="s">
        <v>67</v>
      </c>
      <c r="E691" s="24">
        <v>42035</v>
      </c>
      <c r="F691" s="32">
        <v>100000</v>
      </c>
      <c r="G691" s="10">
        <v>42035</v>
      </c>
      <c r="H691" s="90">
        <f t="shared" si="45"/>
        <v>0</v>
      </c>
      <c r="I691" s="90">
        <f t="shared" si="46"/>
        <v>100000</v>
      </c>
      <c r="J691" s="118" t="str">
        <f t="shared" si="47"/>
        <v>ATRASADO</v>
      </c>
    </row>
    <row r="692" spans="2:10">
      <c r="B692" s="13" t="s">
        <v>55</v>
      </c>
      <c r="C692" s="19" t="s">
        <v>21</v>
      </c>
      <c r="D692" s="21" t="s">
        <v>68</v>
      </c>
      <c r="E692" s="24">
        <v>42063</v>
      </c>
      <c r="F692" s="32">
        <v>100000</v>
      </c>
      <c r="G692" s="10">
        <v>42063</v>
      </c>
      <c r="H692" s="90">
        <f t="shared" si="45"/>
        <v>0</v>
      </c>
      <c r="I692" s="90">
        <f t="shared" si="46"/>
        <v>100000</v>
      </c>
      <c r="J692" s="118" t="str">
        <f t="shared" si="47"/>
        <v>ATRASADO</v>
      </c>
    </row>
    <row r="693" spans="2:10">
      <c r="B693" s="13" t="s">
        <v>55</v>
      </c>
      <c r="C693" s="19" t="s">
        <v>21</v>
      </c>
      <c r="D693" s="21" t="s">
        <v>69</v>
      </c>
      <c r="E693" s="24">
        <v>42078</v>
      </c>
      <c r="F693" s="32">
        <v>100000</v>
      </c>
      <c r="G693" s="10">
        <v>42078</v>
      </c>
      <c r="H693" s="90">
        <f t="shared" si="45"/>
        <v>0</v>
      </c>
      <c r="I693" s="90">
        <f t="shared" si="46"/>
        <v>100000</v>
      </c>
      <c r="J693" s="118" t="str">
        <f t="shared" si="47"/>
        <v>ATRASADO</v>
      </c>
    </row>
    <row r="694" spans="2:10">
      <c r="B694" s="13" t="s">
        <v>55</v>
      </c>
      <c r="C694" s="19" t="s">
        <v>21</v>
      </c>
      <c r="D694" s="21" t="s">
        <v>70</v>
      </c>
      <c r="E694" s="24">
        <v>42109</v>
      </c>
      <c r="F694" s="32">
        <v>100000</v>
      </c>
      <c r="G694" s="10">
        <v>42109</v>
      </c>
      <c r="H694" s="90">
        <f t="shared" si="45"/>
        <v>0</v>
      </c>
      <c r="I694" s="90">
        <f t="shared" si="46"/>
        <v>100000</v>
      </c>
      <c r="J694" s="118" t="str">
        <f t="shared" si="47"/>
        <v>ATRASADO</v>
      </c>
    </row>
    <row r="695" spans="2:10">
      <c r="B695" s="13" t="s">
        <v>55</v>
      </c>
      <c r="C695" s="19" t="s">
        <v>21</v>
      </c>
      <c r="D695" s="21" t="s">
        <v>71</v>
      </c>
      <c r="E695" s="24">
        <v>42139</v>
      </c>
      <c r="F695" s="32">
        <v>100000</v>
      </c>
      <c r="G695" s="10">
        <v>42139</v>
      </c>
      <c r="H695" s="90">
        <f t="shared" si="45"/>
        <v>0</v>
      </c>
      <c r="I695" s="90">
        <f t="shared" si="46"/>
        <v>100000</v>
      </c>
      <c r="J695" s="118" t="str">
        <f t="shared" si="47"/>
        <v>ATRASADO</v>
      </c>
    </row>
    <row r="696" spans="2:10">
      <c r="B696" s="13" t="s">
        <v>55</v>
      </c>
      <c r="C696" s="19" t="s">
        <v>21</v>
      </c>
      <c r="D696" s="21" t="s">
        <v>72</v>
      </c>
      <c r="E696" s="24">
        <v>42170</v>
      </c>
      <c r="F696" s="32">
        <v>100000</v>
      </c>
      <c r="G696" s="10">
        <v>42170</v>
      </c>
      <c r="H696" s="90">
        <f t="shared" si="45"/>
        <v>0</v>
      </c>
      <c r="I696" s="90">
        <f t="shared" si="46"/>
        <v>100000</v>
      </c>
      <c r="J696" s="118" t="str">
        <f t="shared" si="47"/>
        <v>ATRASADO</v>
      </c>
    </row>
    <row r="697" spans="2:10">
      <c r="B697" s="13" t="s">
        <v>55</v>
      </c>
      <c r="C697" s="19" t="s">
        <v>21</v>
      </c>
      <c r="D697" s="21" t="s">
        <v>73</v>
      </c>
      <c r="E697" s="24">
        <v>42200</v>
      </c>
      <c r="F697" s="32">
        <v>100000</v>
      </c>
      <c r="G697" s="10">
        <v>42200</v>
      </c>
      <c r="H697" s="90">
        <f t="shared" si="45"/>
        <v>0</v>
      </c>
      <c r="I697" s="90">
        <f t="shared" si="46"/>
        <v>100000</v>
      </c>
      <c r="J697" s="118" t="str">
        <f t="shared" si="47"/>
        <v>ATRASADO</v>
      </c>
    </row>
    <row r="698" spans="2:10">
      <c r="B698" s="13" t="s">
        <v>55</v>
      </c>
      <c r="C698" s="19" t="s">
        <v>21</v>
      </c>
      <c r="D698" s="21" t="s">
        <v>74</v>
      </c>
      <c r="E698" s="24">
        <v>42231</v>
      </c>
      <c r="F698" s="32">
        <v>100000</v>
      </c>
      <c r="G698" s="10">
        <v>42231</v>
      </c>
      <c r="H698" s="90">
        <f t="shared" si="45"/>
        <v>0</v>
      </c>
      <c r="I698" s="90">
        <f t="shared" si="46"/>
        <v>100000</v>
      </c>
      <c r="J698" s="118" t="str">
        <f t="shared" si="47"/>
        <v>ATRASADO</v>
      </c>
    </row>
    <row r="699" spans="2:10">
      <c r="B699" s="13" t="s">
        <v>55</v>
      </c>
      <c r="C699" s="19" t="s">
        <v>21</v>
      </c>
      <c r="D699" s="21" t="s">
        <v>75</v>
      </c>
      <c r="E699" s="24">
        <v>42262</v>
      </c>
      <c r="F699" s="32">
        <v>100000</v>
      </c>
      <c r="G699" s="10">
        <v>42262</v>
      </c>
      <c r="H699" s="90">
        <f t="shared" si="45"/>
        <v>0</v>
      </c>
      <c r="I699" s="90">
        <f t="shared" si="46"/>
        <v>100000</v>
      </c>
      <c r="J699" s="118" t="str">
        <f t="shared" si="47"/>
        <v>ATRASADO</v>
      </c>
    </row>
    <row r="700" spans="2:10">
      <c r="B700" s="13" t="s">
        <v>55</v>
      </c>
      <c r="C700" s="19" t="s">
        <v>21</v>
      </c>
      <c r="D700" s="21" t="s">
        <v>76</v>
      </c>
      <c r="E700" s="24">
        <v>42292</v>
      </c>
      <c r="F700" s="32">
        <v>100000</v>
      </c>
      <c r="G700" s="10">
        <v>42292</v>
      </c>
      <c r="H700" s="90">
        <f t="shared" si="45"/>
        <v>0</v>
      </c>
      <c r="I700" s="90">
        <f t="shared" si="46"/>
        <v>100000</v>
      </c>
      <c r="J700" s="118" t="str">
        <f t="shared" si="47"/>
        <v>ATRASADO</v>
      </c>
    </row>
    <row r="701" spans="2:10">
      <c r="B701" s="13" t="s">
        <v>55</v>
      </c>
      <c r="C701" s="19" t="s">
        <v>21</v>
      </c>
      <c r="D701" s="21" t="s">
        <v>77</v>
      </c>
      <c r="E701" s="24">
        <v>42323</v>
      </c>
      <c r="F701" s="32">
        <v>100000</v>
      </c>
      <c r="G701" s="10">
        <v>42323</v>
      </c>
      <c r="H701" s="90">
        <f t="shared" si="45"/>
        <v>0</v>
      </c>
      <c r="I701" s="90">
        <f t="shared" si="46"/>
        <v>100000</v>
      </c>
      <c r="J701" s="118" t="str">
        <f t="shared" si="47"/>
        <v>ATRASADO</v>
      </c>
    </row>
    <row r="702" spans="2:10">
      <c r="B702" s="13" t="s">
        <v>55</v>
      </c>
      <c r="C702" s="19" t="s">
        <v>21</v>
      </c>
      <c r="D702" s="21" t="s">
        <v>78</v>
      </c>
      <c r="E702" s="24">
        <v>42353</v>
      </c>
      <c r="F702" s="32">
        <v>100000</v>
      </c>
      <c r="G702" s="10">
        <v>42353</v>
      </c>
      <c r="H702" s="90">
        <f t="shared" si="45"/>
        <v>0</v>
      </c>
      <c r="I702" s="90">
        <f t="shared" si="46"/>
        <v>100000</v>
      </c>
      <c r="J702" s="118" t="str">
        <f t="shared" si="47"/>
        <v>ATRASADO</v>
      </c>
    </row>
    <row r="703" spans="2:10">
      <c r="B703" s="13" t="s">
        <v>55</v>
      </c>
      <c r="C703" s="19" t="s">
        <v>21</v>
      </c>
      <c r="D703" s="21" t="s">
        <v>79</v>
      </c>
      <c r="E703" s="24">
        <v>42384</v>
      </c>
      <c r="F703" s="32">
        <v>100000</v>
      </c>
      <c r="G703" s="10">
        <v>42384</v>
      </c>
      <c r="H703" s="90">
        <f t="shared" si="45"/>
        <v>0</v>
      </c>
      <c r="I703" s="90">
        <f t="shared" si="46"/>
        <v>100000</v>
      </c>
      <c r="J703" s="118" t="str">
        <f t="shared" si="47"/>
        <v>ATRASADO</v>
      </c>
    </row>
    <row r="704" spans="2:10">
      <c r="B704" s="13" t="s">
        <v>55</v>
      </c>
      <c r="C704" s="19" t="s">
        <v>21</v>
      </c>
      <c r="D704" s="21" t="s">
        <v>80</v>
      </c>
      <c r="E704" s="24">
        <v>42415</v>
      </c>
      <c r="F704" s="32">
        <v>100000</v>
      </c>
      <c r="G704" s="10">
        <v>42415</v>
      </c>
      <c r="H704" s="90">
        <f t="shared" si="45"/>
        <v>0</v>
      </c>
      <c r="I704" s="90">
        <f t="shared" si="46"/>
        <v>100000</v>
      </c>
      <c r="J704" s="118" t="str">
        <f t="shared" si="47"/>
        <v>ATRASADO</v>
      </c>
    </row>
    <row r="705" spans="2:10">
      <c r="B705" s="13" t="s">
        <v>55</v>
      </c>
      <c r="C705" s="19" t="s">
        <v>21</v>
      </c>
      <c r="D705" s="21" t="s">
        <v>81</v>
      </c>
      <c r="E705" s="24">
        <v>42444</v>
      </c>
      <c r="F705" s="32">
        <v>100000</v>
      </c>
      <c r="G705" s="10">
        <v>42444</v>
      </c>
      <c r="H705" s="90">
        <f t="shared" si="45"/>
        <v>0</v>
      </c>
      <c r="I705" s="90">
        <f t="shared" si="46"/>
        <v>100000</v>
      </c>
      <c r="J705" s="118" t="str">
        <f t="shared" si="47"/>
        <v>ATRASADO</v>
      </c>
    </row>
    <row r="706" spans="2:10">
      <c r="B706" s="13" t="s">
        <v>55</v>
      </c>
      <c r="C706" s="19" t="s">
        <v>21</v>
      </c>
      <c r="D706" s="21" t="s">
        <v>82</v>
      </c>
      <c r="E706" s="24">
        <v>42475</v>
      </c>
      <c r="F706" s="32">
        <v>100000</v>
      </c>
      <c r="G706" s="10">
        <v>42475</v>
      </c>
      <c r="H706" s="90">
        <f t="shared" si="45"/>
        <v>0</v>
      </c>
      <c r="I706" s="90">
        <f t="shared" si="46"/>
        <v>100000</v>
      </c>
      <c r="J706" s="118" t="str">
        <f t="shared" si="47"/>
        <v>ATRASADO</v>
      </c>
    </row>
    <row r="707" spans="2:10">
      <c r="B707" s="13" t="s">
        <v>55</v>
      </c>
      <c r="C707" s="19" t="s">
        <v>21</v>
      </c>
      <c r="D707" s="21" t="s">
        <v>83</v>
      </c>
      <c r="E707" s="24">
        <v>42505</v>
      </c>
      <c r="F707" s="32">
        <v>100000</v>
      </c>
      <c r="G707" s="10">
        <v>42505</v>
      </c>
      <c r="H707" s="90">
        <f t="shared" si="45"/>
        <v>0</v>
      </c>
      <c r="I707" s="90">
        <f t="shared" si="46"/>
        <v>100000</v>
      </c>
      <c r="J707" s="118" t="str">
        <f t="shared" si="47"/>
        <v>ATRASADO</v>
      </c>
    </row>
    <row r="708" spans="2:10">
      <c r="B708" s="13" t="s">
        <v>55</v>
      </c>
      <c r="C708" s="19" t="s">
        <v>21</v>
      </c>
      <c r="D708" s="21" t="s">
        <v>84</v>
      </c>
      <c r="E708" s="24">
        <v>42536</v>
      </c>
      <c r="F708" s="32">
        <v>100000</v>
      </c>
      <c r="G708" s="10">
        <v>42536</v>
      </c>
      <c r="H708" s="90">
        <f t="shared" si="45"/>
        <v>0</v>
      </c>
      <c r="I708" s="90">
        <f t="shared" si="46"/>
        <v>100000</v>
      </c>
      <c r="J708" s="118" t="str">
        <f t="shared" si="47"/>
        <v>ATRASADO</v>
      </c>
    </row>
    <row r="709" spans="2:10">
      <c r="B709" s="13" t="s">
        <v>55</v>
      </c>
      <c r="C709" s="19" t="s">
        <v>21</v>
      </c>
      <c r="D709" s="21" t="s">
        <v>85</v>
      </c>
      <c r="E709" s="24">
        <v>42566</v>
      </c>
      <c r="F709" s="32">
        <v>100000</v>
      </c>
      <c r="G709" s="10">
        <v>42566</v>
      </c>
      <c r="H709" s="90">
        <f t="shared" si="45"/>
        <v>0</v>
      </c>
      <c r="I709" s="90">
        <f t="shared" si="46"/>
        <v>100000</v>
      </c>
      <c r="J709" s="118" t="str">
        <f t="shared" si="47"/>
        <v>ATRASADO</v>
      </c>
    </row>
    <row r="710" spans="2:10">
      <c r="B710" s="13" t="s">
        <v>55</v>
      </c>
      <c r="C710" s="19" t="s">
        <v>21</v>
      </c>
      <c r="D710" s="21" t="s">
        <v>86</v>
      </c>
      <c r="E710" s="24">
        <v>42597</v>
      </c>
      <c r="F710" s="32">
        <v>100000</v>
      </c>
      <c r="G710" s="10">
        <v>42597</v>
      </c>
      <c r="H710" s="90">
        <f t="shared" si="45"/>
        <v>0</v>
      </c>
      <c r="I710" s="90">
        <f t="shared" si="46"/>
        <v>100000</v>
      </c>
      <c r="J710" s="118" t="str">
        <f t="shared" si="47"/>
        <v>ATRASADO</v>
      </c>
    </row>
    <row r="711" spans="2:10">
      <c r="B711" s="13" t="s">
        <v>55</v>
      </c>
      <c r="C711" s="19" t="s">
        <v>21</v>
      </c>
      <c r="D711" s="38" t="s">
        <v>262</v>
      </c>
      <c r="E711" s="36">
        <v>40726</v>
      </c>
      <c r="F711" s="32">
        <v>100000</v>
      </c>
      <c r="G711" s="10">
        <v>40726</v>
      </c>
      <c r="H711" s="90">
        <f t="shared" si="45"/>
        <v>0</v>
      </c>
      <c r="I711" s="90">
        <f t="shared" si="46"/>
        <v>100000</v>
      </c>
      <c r="J711" s="118" t="str">
        <f t="shared" si="47"/>
        <v>ATRASADO</v>
      </c>
    </row>
    <row r="712" spans="2:10">
      <c r="B712" s="13" t="s">
        <v>55</v>
      </c>
      <c r="C712" s="19" t="s">
        <v>21</v>
      </c>
      <c r="D712" s="38" t="s">
        <v>264</v>
      </c>
      <c r="E712" s="36">
        <v>40726</v>
      </c>
      <c r="F712" s="32">
        <v>100000</v>
      </c>
      <c r="G712" s="10">
        <v>40726</v>
      </c>
      <c r="H712" s="90">
        <f t="shared" si="45"/>
        <v>0</v>
      </c>
      <c r="I712" s="90">
        <f t="shared" si="46"/>
        <v>100000</v>
      </c>
      <c r="J712" s="118" t="str">
        <f t="shared" si="47"/>
        <v>ATRASADO</v>
      </c>
    </row>
    <row r="713" spans="2:10">
      <c r="B713" s="13" t="s">
        <v>55</v>
      </c>
      <c r="C713" s="19" t="s">
        <v>21</v>
      </c>
      <c r="D713" s="38" t="s">
        <v>265</v>
      </c>
      <c r="E713" s="36">
        <v>40788</v>
      </c>
      <c r="F713" s="32">
        <v>100000</v>
      </c>
      <c r="G713" s="10">
        <v>40788</v>
      </c>
      <c r="H713" s="90">
        <f t="shared" si="45"/>
        <v>0</v>
      </c>
      <c r="I713" s="90">
        <f t="shared" si="46"/>
        <v>100000</v>
      </c>
      <c r="J713" s="118" t="str">
        <f t="shared" si="47"/>
        <v>ATRASADO</v>
      </c>
    </row>
    <row r="714" spans="2:10">
      <c r="B714" s="13" t="s">
        <v>55</v>
      </c>
      <c r="C714" s="19" t="s">
        <v>21</v>
      </c>
      <c r="D714" s="38" t="s">
        <v>266</v>
      </c>
      <c r="E714" s="36">
        <v>40847</v>
      </c>
      <c r="F714" s="32">
        <v>100000</v>
      </c>
      <c r="G714" s="10">
        <v>40847</v>
      </c>
      <c r="H714" s="90">
        <f t="shared" si="45"/>
        <v>0</v>
      </c>
      <c r="I714" s="90">
        <f t="shared" si="46"/>
        <v>100000</v>
      </c>
      <c r="J714" s="118" t="str">
        <f t="shared" si="47"/>
        <v>ATRASADO</v>
      </c>
    </row>
    <row r="715" spans="2:10">
      <c r="B715" s="13" t="s">
        <v>55</v>
      </c>
      <c r="C715" s="19" t="s">
        <v>21</v>
      </c>
      <c r="D715" s="38" t="s">
        <v>267</v>
      </c>
      <c r="E715" s="36">
        <v>40849</v>
      </c>
      <c r="F715" s="32">
        <v>100000</v>
      </c>
      <c r="G715" s="10">
        <v>40849</v>
      </c>
      <c r="H715" s="90">
        <f t="shared" si="45"/>
        <v>0</v>
      </c>
      <c r="I715" s="90">
        <f t="shared" si="46"/>
        <v>100000</v>
      </c>
      <c r="J715" s="118" t="str">
        <f t="shared" si="47"/>
        <v>ATRASADO</v>
      </c>
    </row>
    <row r="716" spans="2:10">
      <c r="B716" s="13" t="s">
        <v>55</v>
      </c>
      <c r="C716" s="19" t="s">
        <v>21</v>
      </c>
      <c r="D716" s="38" t="s">
        <v>384</v>
      </c>
      <c r="E716" s="36">
        <v>40599</v>
      </c>
      <c r="F716" s="32">
        <v>100000</v>
      </c>
      <c r="G716" s="10">
        <v>40599</v>
      </c>
      <c r="H716" s="90">
        <f t="shared" si="45"/>
        <v>0</v>
      </c>
      <c r="I716" s="90">
        <f t="shared" si="46"/>
        <v>100000</v>
      </c>
      <c r="J716" s="118" t="str">
        <f t="shared" si="47"/>
        <v>ATRASADO</v>
      </c>
    </row>
    <row r="717" spans="2:10" ht="24.75">
      <c r="B717" s="13" t="s">
        <v>679</v>
      </c>
      <c r="C717" s="19" t="s">
        <v>21</v>
      </c>
      <c r="D717" s="38" t="s">
        <v>385</v>
      </c>
      <c r="E717" s="36">
        <v>40724</v>
      </c>
      <c r="F717" s="32">
        <v>500000</v>
      </c>
      <c r="G717" s="10">
        <v>40724</v>
      </c>
      <c r="H717" s="90">
        <f t="shared" si="45"/>
        <v>0</v>
      </c>
      <c r="I717" s="90">
        <f t="shared" si="46"/>
        <v>500000</v>
      </c>
      <c r="J717" s="118" t="str">
        <f t="shared" si="47"/>
        <v>ATRASADO</v>
      </c>
    </row>
    <row r="718" spans="2:10">
      <c r="B718" s="13"/>
      <c r="C718" s="19"/>
      <c r="D718" s="38"/>
      <c r="E718" s="36"/>
      <c r="F718" s="32"/>
      <c r="G718" s="10"/>
    </row>
    <row r="719" spans="2:10">
      <c r="B719" s="13" t="s">
        <v>91</v>
      </c>
      <c r="C719" s="19" t="s">
        <v>21</v>
      </c>
      <c r="D719" s="18" t="s">
        <v>90</v>
      </c>
      <c r="E719" s="23">
        <v>41560</v>
      </c>
      <c r="F719" s="32">
        <v>33333.33</v>
      </c>
      <c r="G719" s="23">
        <v>41560</v>
      </c>
      <c r="H719" s="90">
        <f>IF(F719&gt;0,0,"")</f>
        <v>0</v>
      </c>
      <c r="I719" s="90">
        <f>IF(H719=0,F719,"")</f>
        <v>33333.33</v>
      </c>
      <c r="J719" s="118" t="str">
        <f>IF(I719&gt;0,"ATRASADO","")</f>
        <v>ATRASADO</v>
      </c>
    </row>
    <row r="720" spans="2:10">
      <c r="B720" s="13"/>
      <c r="C720" s="19"/>
      <c r="D720" s="12"/>
      <c r="E720" s="10"/>
      <c r="F720" s="32"/>
      <c r="G720" s="10"/>
    </row>
    <row r="721" spans="2:10">
      <c r="B721" s="13" t="s">
        <v>29</v>
      </c>
      <c r="C721" s="19" t="s">
        <v>20</v>
      </c>
      <c r="D721" s="16">
        <v>1500002197</v>
      </c>
      <c r="E721" s="10">
        <v>41810</v>
      </c>
      <c r="F721" s="32">
        <f>161973-67107.34</f>
        <v>94865.66</v>
      </c>
      <c r="G721" s="10">
        <v>41810</v>
      </c>
      <c r="H721" s="90">
        <f t="shared" ref="H721:H749" si="48">IF(F721&gt;0,0,"")</f>
        <v>0</v>
      </c>
      <c r="I721" s="90">
        <f t="shared" ref="I721:I749" si="49">IF(H721=0,F721,"")</f>
        <v>94865.66</v>
      </c>
      <c r="J721" s="118" t="str">
        <f t="shared" ref="J721:J749" si="50">IF(I721&gt;0,"ATRASADO","")</f>
        <v>ATRASADO</v>
      </c>
    </row>
    <row r="722" spans="2:10">
      <c r="B722" s="13" t="s">
        <v>29</v>
      </c>
      <c r="C722" s="19" t="s">
        <v>20</v>
      </c>
      <c r="D722" s="16">
        <v>1500002199</v>
      </c>
      <c r="E722" s="10">
        <v>41810</v>
      </c>
      <c r="F722" s="32">
        <v>161973</v>
      </c>
      <c r="G722" s="10">
        <v>41810</v>
      </c>
      <c r="H722" s="90">
        <f t="shared" si="48"/>
        <v>0</v>
      </c>
      <c r="I722" s="90">
        <f t="shared" si="49"/>
        <v>161973</v>
      </c>
      <c r="J722" s="118" t="str">
        <f t="shared" si="50"/>
        <v>ATRASADO</v>
      </c>
    </row>
    <row r="723" spans="2:10">
      <c r="B723" s="13" t="s">
        <v>29</v>
      </c>
      <c r="C723" s="19" t="s">
        <v>20</v>
      </c>
      <c r="D723" s="16">
        <v>1500002205</v>
      </c>
      <c r="E723" s="10">
        <v>41810</v>
      </c>
      <c r="F723" s="32">
        <v>43192.81</v>
      </c>
      <c r="G723" s="10">
        <v>41810</v>
      </c>
      <c r="H723" s="90">
        <f t="shared" si="48"/>
        <v>0</v>
      </c>
      <c r="I723" s="90">
        <f t="shared" si="49"/>
        <v>43192.81</v>
      </c>
      <c r="J723" s="118" t="str">
        <f t="shared" si="50"/>
        <v>ATRASADO</v>
      </c>
    </row>
    <row r="724" spans="2:10">
      <c r="B724" s="13" t="s">
        <v>29</v>
      </c>
      <c r="C724" s="19" t="s">
        <v>20</v>
      </c>
      <c r="D724" s="16">
        <v>1500002218</v>
      </c>
      <c r="E724" s="10">
        <v>41555</v>
      </c>
      <c r="F724" s="32">
        <v>71280.94</v>
      </c>
      <c r="G724" s="10">
        <v>41555</v>
      </c>
      <c r="H724" s="90">
        <f t="shared" si="48"/>
        <v>0</v>
      </c>
      <c r="I724" s="90">
        <f t="shared" si="49"/>
        <v>71280.94</v>
      </c>
      <c r="J724" s="118" t="str">
        <f t="shared" si="50"/>
        <v>ATRASADO</v>
      </c>
    </row>
    <row r="725" spans="2:10">
      <c r="B725" s="13" t="s">
        <v>29</v>
      </c>
      <c r="C725" s="19" t="s">
        <v>20</v>
      </c>
      <c r="D725" s="16">
        <v>1500002227</v>
      </c>
      <c r="E725" s="10">
        <v>41595</v>
      </c>
      <c r="F725" s="32">
        <v>188496.1</v>
      </c>
      <c r="G725" s="10">
        <v>41595</v>
      </c>
      <c r="H725" s="90">
        <f t="shared" si="48"/>
        <v>0</v>
      </c>
      <c r="I725" s="90">
        <f t="shared" si="49"/>
        <v>188496.1</v>
      </c>
      <c r="J725" s="118" t="str">
        <f t="shared" si="50"/>
        <v>ATRASADO</v>
      </c>
    </row>
    <row r="726" spans="2:10">
      <c r="B726" s="13" t="s">
        <v>29</v>
      </c>
      <c r="C726" s="19" t="s">
        <v>20</v>
      </c>
      <c r="D726" s="16">
        <v>1500002233</v>
      </c>
      <c r="E726" s="10">
        <v>41810</v>
      </c>
      <c r="F726" s="32">
        <v>90211.25</v>
      </c>
      <c r="G726" s="10">
        <v>41810</v>
      </c>
      <c r="H726" s="90">
        <f t="shared" si="48"/>
        <v>0</v>
      </c>
      <c r="I726" s="90">
        <f t="shared" si="49"/>
        <v>90211.25</v>
      </c>
      <c r="J726" s="118" t="str">
        <f t="shared" si="50"/>
        <v>ATRASADO</v>
      </c>
    </row>
    <row r="727" spans="2:10">
      <c r="B727" s="13" t="s">
        <v>29</v>
      </c>
      <c r="C727" s="19" t="s">
        <v>20</v>
      </c>
      <c r="D727" s="16">
        <v>1500002238</v>
      </c>
      <c r="E727" s="10">
        <v>41810</v>
      </c>
      <c r="F727" s="32">
        <v>68737.27</v>
      </c>
      <c r="G727" s="10">
        <v>41810</v>
      </c>
      <c r="H727" s="90">
        <f t="shared" si="48"/>
        <v>0</v>
      </c>
      <c r="I727" s="90">
        <f t="shared" si="49"/>
        <v>68737.27</v>
      </c>
      <c r="J727" s="118" t="str">
        <f t="shared" si="50"/>
        <v>ATRASADO</v>
      </c>
    </row>
    <row r="728" spans="2:10">
      <c r="B728" s="13" t="s">
        <v>29</v>
      </c>
      <c r="C728" s="19" t="s">
        <v>20</v>
      </c>
      <c r="D728" s="16">
        <v>1500002283</v>
      </c>
      <c r="E728" s="10">
        <v>41604</v>
      </c>
      <c r="F728" s="32">
        <v>131947.29999999999</v>
      </c>
      <c r="G728" s="10">
        <v>41604</v>
      </c>
      <c r="H728" s="90">
        <f t="shared" si="48"/>
        <v>0</v>
      </c>
      <c r="I728" s="90">
        <f t="shared" si="49"/>
        <v>131947.29999999999</v>
      </c>
      <c r="J728" s="118" t="str">
        <f t="shared" si="50"/>
        <v>ATRASADO</v>
      </c>
    </row>
    <row r="729" spans="2:10">
      <c r="B729" s="13" t="s">
        <v>29</v>
      </c>
      <c r="C729" s="19" t="s">
        <v>20</v>
      </c>
      <c r="D729" s="16">
        <v>1500002285</v>
      </c>
      <c r="E729" s="10">
        <v>41635</v>
      </c>
      <c r="F729" s="32">
        <v>188496.1</v>
      </c>
      <c r="G729" s="10">
        <v>41635</v>
      </c>
      <c r="H729" s="90">
        <f t="shared" si="48"/>
        <v>0</v>
      </c>
      <c r="I729" s="90">
        <f t="shared" si="49"/>
        <v>188496.1</v>
      </c>
      <c r="J729" s="118" t="str">
        <f t="shared" si="50"/>
        <v>ATRASADO</v>
      </c>
    </row>
    <row r="730" spans="2:10">
      <c r="B730" s="13" t="s">
        <v>29</v>
      </c>
      <c r="C730" s="19" t="s">
        <v>20</v>
      </c>
      <c r="D730" s="16">
        <v>1500002301</v>
      </c>
      <c r="E730" s="10">
        <v>41646</v>
      </c>
      <c r="F730" s="32">
        <v>444431.4</v>
      </c>
      <c r="G730" s="10">
        <v>41646</v>
      </c>
      <c r="H730" s="90">
        <f t="shared" si="48"/>
        <v>0</v>
      </c>
      <c r="I730" s="90">
        <f t="shared" si="49"/>
        <v>444431.4</v>
      </c>
      <c r="J730" s="118" t="str">
        <f t="shared" si="50"/>
        <v>ATRASADO</v>
      </c>
    </row>
    <row r="731" spans="2:10">
      <c r="B731" s="13" t="s">
        <v>29</v>
      </c>
      <c r="C731" s="19" t="s">
        <v>20</v>
      </c>
      <c r="D731" s="16">
        <v>1500002302</v>
      </c>
      <c r="E731" s="10">
        <v>41619</v>
      </c>
      <c r="F731" s="32">
        <v>188512.9</v>
      </c>
      <c r="G731" s="10">
        <v>41619</v>
      </c>
      <c r="H731" s="90">
        <f t="shared" si="48"/>
        <v>0</v>
      </c>
      <c r="I731" s="90">
        <f t="shared" si="49"/>
        <v>188512.9</v>
      </c>
      <c r="J731" s="118" t="str">
        <f t="shared" si="50"/>
        <v>ATRASADO</v>
      </c>
    </row>
    <row r="732" spans="2:10">
      <c r="B732" s="13" t="s">
        <v>29</v>
      </c>
      <c r="C732" s="19" t="s">
        <v>20</v>
      </c>
      <c r="D732" s="16">
        <v>1500002304</v>
      </c>
      <c r="E732" s="10">
        <v>41619</v>
      </c>
      <c r="F732" s="32">
        <v>188512.9</v>
      </c>
      <c r="G732" s="10">
        <v>41619</v>
      </c>
      <c r="H732" s="90">
        <f t="shared" si="48"/>
        <v>0</v>
      </c>
      <c r="I732" s="90">
        <f t="shared" si="49"/>
        <v>188512.9</v>
      </c>
      <c r="J732" s="118" t="str">
        <f t="shared" si="50"/>
        <v>ATRASADO</v>
      </c>
    </row>
    <row r="733" spans="2:10">
      <c r="B733" s="13" t="s">
        <v>29</v>
      </c>
      <c r="C733" s="19" t="s">
        <v>20</v>
      </c>
      <c r="D733" s="16">
        <v>1500002305</v>
      </c>
      <c r="E733" s="10">
        <v>41619</v>
      </c>
      <c r="F733" s="32">
        <v>188512.9</v>
      </c>
      <c r="G733" s="10">
        <v>41619</v>
      </c>
      <c r="H733" s="90">
        <f t="shared" si="48"/>
        <v>0</v>
      </c>
      <c r="I733" s="90">
        <f t="shared" si="49"/>
        <v>188512.9</v>
      </c>
      <c r="J733" s="118" t="str">
        <f t="shared" si="50"/>
        <v>ATRASADO</v>
      </c>
    </row>
    <row r="734" spans="2:10">
      <c r="B734" s="13" t="s">
        <v>29</v>
      </c>
      <c r="C734" s="19" t="s">
        <v>20</v>
      </c>
      <c r="D734" s="16">
        <v>1500002312</v>
      </c>
      <c r="E734" s="10">
        <v>41810</v>
      </c>
      <c r="F734" s="32">
        <v>157094.1</v>
      </c>
      <c r="G734" s="10">
        <v>41810</v>
      </c>
      <c r="H734" s="90">
        <f t="shared" si="48"/>
        <v>0</v>
      </c>
      <c r="I734" s="90">
        <f t="shared" si="49"/>
        <v>157094.1</v>
      </c>
      <c r="J734" s="118" t="str">
        <f t="shared" si="50"/>
        <v>ATRASADO</v>
      </c>
    </row>
    <row r="735" spans="2:10">
      <c r="B735" s="13" t="s">
        <v>29</v>
      </c>
      <c r="C735" s="19" t="s">
        <v>20</v>
      </c>
      <c r="D735" s="16">
        <v>1500002313</v>
      </c>
      <c r="E735" s="10">
        <v>41635</v>
      </c>
      <c r="F735" s="32">
        <v>157094.1</v>
      </c>
      <c r="G735" s="10">
        <v>41635</v>
      </c>
      <c r="H735" s="90">
        <f t="shared" si="48"/>
        <v>0</v>
      </c>
      <c r="I735" s="90">
        <f t="shared" si="49"/>
        <v>157094.1</v>
      </c>
      <c r="J735" s="118" t="str">
        <f t="shared" si="50"/>
        <v>ATRASADO</v>
      </c>
    </row>
    <row r="736" spans="2:10">
      <c r="B736" s="13" t="s">
        <v>29</v>
      </c>
      <c r="C736" s="19" t="s">
        <v>20</v>
      </c>
      <c r="D736" s="16">
        <v>1500002314</v>
      </c>
      <c r="E736" s="10">
        <v>41662</v>
      </c>
      <c r="F736" s="32">
        <v>59940.22</v>
      </c>
      <c r="G736" s="10">
        <v>41662</v>
      </c>
      <c r="H736" s="90">
        <f t="shared" si="48"/>
        <v>0</v>
      </c>
      <c r="I736" s="90">
        <f t="shared" si="49"/>
        <v>59940.22</v>
      </c>
      <c r="J736" s="118" t="str">
        <f t="shared" si="50"/>
        <v>ATRASADO</v>
      </c>
    </row>
    <row r="737" spans="2:10">
      <c r="B737" s="13" t="s">
        <v>29</v>
      </c>
      <c r="C737" s="19" t="s">
        <v>20</v>
      </c>
      <c r="D737" s="16">
        <v>1500002320</v>
      </c>
      <c r="E737" s="10">
        <v>41665</v>
      </c>
      <c r="F737" s="32">
        <v>190687.9</v>
      </c>
      <c r="G737" s="10">
        <v>41665</v>
      </c>
      <c r="H737" s="90">
        <f t="shared" si="48"/>
        <v>0</v>
      </c>
      <c r="I737" s="90">
        <f t="shared" si="49"/>
        <v>190687.9</v>
      </c>
      <c r="J737" s="118" t="str">
        <f t="shared" si="50"/>
        <v>ATRASADO</v>
      </c>
    </row>
    <row r="738" spans="2:10">
      <c r="B738" s="13" t="s">
        <v>29</v>
      </c>
      <c r="C738" s="19" t="s">
        <v>20</v>
      </c>
      <c r="D738" s="16">
        <v>1500002321</v>
      </c>
      <c r="E738" s="10">
        <v>41670</v>
      </c>
      <c r="F738" s="32">
        <v>190687.9</v>
      </c>
      <c r="G738" s="10">
        <v>41670</v>
      </c>
      <c r="H738" s="90">
        <f t="shared" si="48"/>
        <v>0</v>
      </c>
      <c r="I738" s="90">
        <f t="shared" si="49"/>
        <v>190687.9</v>
      </c>
      <c r="J738" s="118" t="str">
        <f t="shared" si="50"/>
        <v>ATRASADO</v>
      </c>
    </row>
    <row r="739" spans="2:10">
      <c r="B739" s="13" t="s">
        <v>29</v>
      </c>
      <c r="C739" s="19" t="s">
        <v>20</v>
      </c>
      <c r="D739" s="16">
        <v>1500002324</v>
      </c>
      <c r="E739" s="10">
        <v>41952</v>
      </c>
      <c r="F739" s="32">
        <v>190687.9</v>
      </c>
      <c r="G739" s="10">
        <v>41952</v>
      </c>
      <c r="H739" s="90">
        <f t="shared" si="48"/>
        <v>0</v>
      </c>
      <c r="I739" s="90">
        <f t="shared" si="49"/>
        <v>190687.9</v>
      </c>
      <c r="J739" s="118" t="str">
        <f t="shared" si="50"/>
        <v>ATRASADO</v>
      </c>
    </row>
    <row r="740" spans="2:10">
      <c r="B740" s="13" t="s">
        <v>29</v>
      </c>
      <c r="C740" s="19" t="s">
        <v>20</v>
      </c>
      <c r="D740" s="16">
        <v>1500002410</v>
      </c>
      <c r="E740" s="10">
        <v>41732</v>
      </c>
      <c r="F740" s="32">
        <v>39515.369999999995</v>
      </c>
      <c r="G740" s="10">
        <v>41732</v>
      </c>
      <c r="H740" s="90">
        <f t="shared" si="48"/>
        <v>0</v>
      </c>
      <c r="I740" s="90">
        <f t="shared" si="49"/>
        <v>39515.369999999995</v>
      </c>
      <c r="J740" s="118" t="str">
        <f t="shared" si="50"/>
        <v>ATRASADO</v>
      </c>
    </row>
    <row r="741" spans="2:10">
      <c r="B741" s="13" t="s">
        <v>29</v>
      </c>
      <c r="C741" s="19" t="s">
        <v>20</v>
      </c>
      <c r="D741" s="16">
        <v>1500002701</v>
      </c>
      <c r="E741" s="10">
        <v>41978</v>
      </c>
      <c r="F741" s="32">
        <v>199008.9</v>
      </c>
      <c r="G741" s="10">
        <v>41978</v>
      </c>
      <c r="H741" s="90">
        <f t="shared" si="48"/>
        <v>0</v>
      </c>
      <c r="I741" s="90">
        <f t="shared" si="49"/>
        <v>199008.9</v>
      </c>
      <c r="J741" s="118" t="str">
        <f t="shared" si="50"/>
        <v>ATRASADO</v>
      </c>
    </row>
    <row r="742" spans="2:10">
      <c r="B742" s="13" t="s">
        <v>29</v>
      </c>
      <c r="C742" s="19" t="s">
        <v>20</v>
      </c>
      <c r="D742" s="16">
        <v>1500002872</v>
      </c>
      <c r="E742" s="10">
        <v>42387</v>
      </c>
      <c r="F742" s="32">
        <v>64338.8</v>
      </c>
      <c r="G742" s="10">
        <v>42387</v>
      </c>
      <c r="H742" s="90">
        <f t="shared" si="48"/>
        <v>0</v>
      </c>
      <c r="I742" s="90">
        <f t="shared" si="49"/>
        <v>64338.8</v>
      </c>
      <c r="J742" s="118" t="str">
        <f t="shared" si="50"/>
        <v>ATRASADO</v>
      </c>
    </row>
    <row r="743" spans="2:10">
      <c r="B743" s="13" t="s">
        <v>29</v>
      </c>
      <c r="C743" s="19" t="s">
        <v>20</v>
      </c>
      <c r="D743" s="16">
        <v>1500002873</v>
      </c>
      <c r="E743" s="10">
        <v>42387</v>
      </c>
      <c r="F743" s="32">
        <v>64338.8</v>
      </c>
      <c r="G743" s="10">
        <v>42387</v>
      </c>
      <c r="H743" s="90">
        <f t="shared" si="48"/>
        <v>0</v>
      </c>
      <c r="I743" s="90">
        <f t="shared" si="49"/>
        <v>64338.8</v>
      </c>
      <c r="J743" s="118" t="str">
        <f t="shared" si="50"/>
        <v>ATRASADO</v>
      </c>
    </row>
    <row r="744" spans="2:10">
      <c r="B744" s="13" t="s">
        <v>29</v>
      </c>
      <c r="C744" s="19" t="s">
        <v>20</v>
      </c>
      <c r="D744" s="16">
        <v>1500002877</v>
      </c>
      <c r="E744" s="10">
        <v>42397</v>
      </c>
      <c r="F744" s="32">
        <v>78585.59</v>
      </c>
      <c r="G744" s="10">
        <v>42397</v>
      </c>
      <c r="H744" s="90">
        <f t="shared" si="48"/>
        <v>0</v>
      </c>
      <c r="I744" s="90">
        <f t="shared" si="49"/>
        <v>78585.59</v>
      </c>
      <c r="J744" s="118" t="str">
        <f t="shared" si="50"/>
        <v>ATRASADO</v>
      </c>
    </row>
    <row r="745" spans="2:10">
      <c r="B745" s="13" t="s">
        <v>29</v>
      </c>
      <c r="C745" s="19" t="s">
        <v>20</v>
      </c>
      <c r="D745" s="16">
        <v>1500002878</v>
      </c>
      <c r="E745" s="10">
        <v>42397</v>
      </c>
      <c r="F745" s="32">
        <v>17517.82</v>
      </c>
      <c r="G745" s="10">
        <v>42397</v>
      </c>
      <c r="H745" s="90">
        <f t="shared" si="48"/>
        <v>0</v>
      </c>
      <c r="I745" s="90">
        <f t="shared" si="49"/>
        <v>17517.82</v>
      </c>
      <c r="J745" s="118" t="str">
        <f t="shared" si="50"/>
        <v>ATRASADO</v>
      </c>
    </row>
    <row r="746" spans="2:10">
      <c r="B746" s="13" t="s">
        <v>29</v>
      </c>
      <c r="C746" s="19" t="s">
        <v>20</v>
      </c>
      <c r="D746" s="16">
        <v>1500002879</v>
      </c>
      <c r="E746" s="10">
        <v>42397</v>
      </c>
      <c r="F746" s="32">
        <v>10438.540000000001</v>
      </c>
      <c r="G746" s="10">
        <v>42397</v>
      </c>
      <c r="H746" s="90">
        <f t="shared" si="48"/>
        <v>0</v>
      </c>
      <c r="I746" s="90">
        <f t="shared" si="49"/>
        <v>10438.540000000001</v>
      </c>
      <c r="J746" s="118" t="str">
        <f t="shared" si="50"/>
        <v>ATRASADO</v>
      </c>
    </row>
    <row r="747" spans="2:10">
      <c r="B747" s="13" t="s">
        <v>29</v>
      </c>
      <c r="C747" s="19" t="s">
        <v>20</v>
      </c>
      <c r="D747" s="16">
        <v>1500002880</v>
      </c>
      <c r="E747" s="10">
        <v>42397</v>
      </c>
      <c r="F747" s="32">
        <v>20311.38</v>
      </c>
      <c r="G747" s="10">
        <v>42397</v>
      </c>
      <c r="H747" s="90">
        <f t="shared" si="48"/>
        <v>0</v>
      </c>
      <c r="I747" s="90">
        <f t="shared" si="49"/>
        <v>20311.38</v>
      </c>
      <c r="J747" s="118" t="str">
        <f t="shared" si="50"/>
        <v>ATRASADO</v>
      </c>
    </row>
    <row r="748" spans="2:10">
      <c r="B748" s="13" t="s">
        <v>29</v>
      </c>
      <c r="C748" s="19" t="s">
        <v>20</v>
      </c>
      <c r="D748" s="16">
        <v>1500002924</v>
      </c>
      <c r="E748" s="10">
        <v>42101</v>
      </c>
      <c r="F748" s="32">
        <v>30024.77</v>
      </c>
      <c r="G748" s="10">
        <v>42101</v>
      </c>
      <c r="H748" s="90">
        <f t="shared" si="48"/>
        <v>0</v>
      </c>
      <c r="I748" s="90">
        <f t="shared" si="49"/>
        <v>30024.77</v>
      </c>
      <c r="J748" s="118" t="str">
        <f t="shared" si="50"/>
        <v>ATRASADO</v>
      </c>
    </row>
    <row r="749" spans="2:10">
      <c r="B749" s="13" t="s">
        <v>29</v>
      </c>
      <c r="C749" s="19" t="s">
        <v>923</v>
      </c>
      <c r="D749" s="16" t="s">
        <v>929</v>
      </c>
      <c r="E749" s="10" t="s">
        <v>898</v>
      </c>
      <c r="F749" s="32">
        <v>3359997.35</v>
      </c>
      <c r="G749" s="10" t="s">
        <v>898</v>
      </c>
      <c r="H749" s="90">
        <f t="shared" si="48"/>
        <v>0</v>
      </c>
      <c r="I749" s="90">
        <f t="shared" si="49"/>
        <v>3359997.35</v>
      </c>
      <c r="J749" s="118" t="str">
        <f t="shared" si="50"/>
        <v>ATRASADO</v>
      </c>
    </row>
    <row r="750" spans="2:10">
      <c r="B750" s="13"/>
      <c r="C750" s="19"/>
      <c r="D750" s="17"/>
      <c r="E750" s="10"/>
      <c r="F750" s="32"/>
      <c r="G750" s="10"/>
    </row>
    <row r="751" spans="2:10">
      <c r="B751" s="13" t="s">
        <v>167</v>
      </c>
      <c r="C751" s="19" t="s">
        <v>168</v>
      </c>
      <c r="D751" s="16">
        <v>100000481</v>
      </c>
      <c r="E751" s="10">
        <v>41549</v>
      </c>
      <c r="F751" s="32">
        <v>52000</v>
      </c>
      <c r="G751" s="10">
        <v>41549</v>
      </c>
      <c r="H751" s="90">
        <f>IF(F751&gt;0,0,"")</f>
        <v>0</v>
      </c>
      <c r="I751" s="90">
        <f>IF(H751=0,F751,"")</f>
        <v>52000</v>
      </c>
      <c r="J751" s="118" t="str">
        <f>IF(I751&gt;0,"ATRASADO","")</f>
        <v>ATRASADO</v>
      </c>
    </row>
    <row r="752" spans="2:10">
      <c r="B752" s="68"/>
      <c r="C752" s="19"/>
      <c r="D752" s="16"/>
      <c r="E752" s="10"/>
      <c r="F752" s="32"/>
      <c r="G752" s="10"/>
    </row>
    <row r="753" spans="2:10">
      <c r="B753" s="13" t="s">
        <v>880</v>
      </c>
      <c r="C753" s="19" t="s">
        <v>570</v>
      </c>
      <c r="D753" s="16" t="s">
        <v>881</v>
      </c>
      <c r="E753" s="10">
        <v>44132</v>
      </c>
      <c r="F753" s="90">
        <v>237414.39999999999</v>
      </c>
      <c r="G753" s="10">
        <v>44132</v>
      </c>
      <c r="H753" s="90">
        <f t="shared" ref="H753:H769" si="51">IF(F753&gt;0,0,"")</f>
        <v>0</v>
      </c>
      <c r="I753" s="90">
        <f t="shared" ref="I753:I769" si="52">IF(H753=0,F753,"")</f>
        <v>237414.39999999999</v>
      </c>
      <c r="J753" s="118" t="str">
        <f t="shared" ref="J753:J769" si="53">IF(I753&gt;0,"ATRASADO","")</f>
        <v>ATRASADO</v>
      </c>
    </row>
    <row r="754" spans="2:10">
      <c r="B754" s="13" t="s">
        <v>880</v>
      </c>
      <c r="C754" s="19" t="s">
        <v>570</v>
      </c>
      <c r="D754" s="16" t="s">
        <v>882</v>
      </c>
      <c r="E754" s="10">
        <v>44166</v>
      </c>
      <c r="F754" s="90">
        <v>300787.20000000001</v>
      </c>
      <c r="G754" s="10">
        <v>44166</v>
      </c>
      <c r="H754" s="90">
        <f t="shared" si="51"/>
        <v>0</v>
      </c>
      <c r="I754" s="90">
        <f t="shared" si="52"/>
        <v>300787.20000000001</v>
      </c>
      <c r="J754" s="118" t="str">
        <f t="shared" si="53"/>
        <v>ATRASADO</v>
      </c>
    </row>
    <row r="755" spans="2:10">
      <c r="B755" s="13" t="s">
        <v>880</v>
      </c>
      <c r="C755" s="19" t="s">
        <v>570</v>
      </c>
      <c r="D755" s="16" t="s">
        <v>883</v>
      </c>
      <c r="E755" s="10">
        <v>44166</v>
      </c>
      <c r="F755" s="90">
        <v>103040</v>
      </c>
      <c r="G755" s="10">
        <v>44166</v>
      </c>
      <c r="H755" s="90">
        <f t="shared" si="51"/>
        <v>0</v>
      </c>
      <c r="I755" s="90">
        <f t="shared" si="52"/>
        <v>103040</v>
      </c>
      <c r="J755" s="118" t="str">
        <f t="shared" si="53"/>
        <v>ATRASADO</v>
      </c>
    </row>
    <row r="756" spans="2:10">
      <c r="B756" s="13" t="s">
        <v>880</v>
      </c>
      <c r="C756" s="19" t="s">
        <v>570</v>
      </c>
      <c r="D756" s="16" t="s">
        <v>885</v>
      </c>
      <c r="E756" s="10">
        <v>44198</v>
      </c>
      <c r="F756" s="90">
        <v>222182.39999999999</v>
      </c>
      <c r="G756" s="10">
        <v>44198</v>
      </c>
      <c r="H756" s="90">
        <f t="shared" si="51"/>
        <v>0</v>
      </c>
      <c r="I756" s="90">
        <f t="shared" si="52"/>
        <v>222182.39999999999</v>
      </c>
      <c r="J756" s="118" t="str">
        <f t="shared" si="53"/>
        <v>ATRASADO</v>
      </c>
    </row>
    <row r="757" spans="2:10">
      <c r="B757" s="13" t="s">
        <v>880</v>
      </c>
      <c r="C757" s="19" t="s">
        <v>570</v>
      </c>
      <c r="D757" s="16" t="s">
        <v>886</v>
      </c>
      <c r="E757" s="10">
        <v>44198</v>
      </c>
      <c r="F757" s="90">
        <v>107059.2</v>
      </c>
      <c r="G757" s="10">
        <v>44198</v>
      </c>
      <c r="H757" s="90">
        <f t="shared" si="51"/>
        <v>0</v>
      </c>
      <c r="I757" s="90">
        <f t="shared" si="52"/>
        <v>107059.2</v>
      </c>
      <c r="J757" s="118" t="str">
        <f t="shared" si="53"/>
        <v>ATRASADO</v>
      </c>
    </row>
    <row r="758" spans="2:10">
      <c r="B758" s="13" t="s">
        <v>880</v>
      </c>
      <c r="C758" s="19" t="s">
        <v>570</v>
      </c>
      <c r="D758" s="16" t="s">
        <v>884</v>
      </c>
      <c r="E758" s="10">
        <v>44198</v>
      </c>
      <c r="F758" s="90">
        <v>128000</v>
      </c>
      <c r="G758" s="10">
        <v>44198</v>
      </c>
      <c r="H758" s="90">
        <f t="shared" si="51"/>
        <v>0</v>
      </c>
      <c r="I758" s="90">
        <f t="shared" si="52"/>
        <v>128000</v>
      </c>
      <c r="J758" s="118" t="str">
        <f t="shared" si="53"/>
        <v>ATRASADO</v>
      </c>
    </row>
    <row r="759" spans="2:10">
      <c r="B759" s="13" t="s">
        <v>880</v>
      </c>
      <c r="C759" s="19" t="s">
        <v>570</v>
      </c>
      <c r="D759" s="16" t="s">
        <v>888</v>
      </c>
      <c r="E759" s="10">
        <v>44228</v>
      </c>
      <c r="F759" s="90">
        <v>192000</v>
      </c>
      <c r="G759" s="10">
        <v>44228</v>
      </c>
      <c r="H759" s="90">
        <f t="shared" si="51"/>
        <v>0</v>
      </c>
      <c r="I759" s="90">
        <f t="shared" si="52"/>
        <v>192000</v>
      </c>
      <c r="J759" s="118" t="str">
        <f t="shared" si="53"/>
        <v>ATRASADO</v>
      </c>
    </row>
    <row r="760" spans="2:10">
      <c r="B760" s="13" t="s">
        <v>880</v>
      </c>
      <c r="C760" s="19" t="s">
        <v>570</v>
      </c>
      <c r="D760" s="16" t="s">
        <v>593</v>
      </c>
      <c r="E760" s="10">
        <v>44228</v>
      </c>
      <c r="F760" s="90">
        <v>204800</v>
      </c>
      <c r="G760" s="10">
        <v>44228</v>
      </c>
      <c r="H760" s="90">
        <f t="shared" si="51"/>
        <v>0</v>
      </c>
      <c r="I760" s="90">
        <f t="shared" si="52"/>
        <v>204800</v>
      </c>
      <c r="J760" s="118" t="str">
        <f t="shared" si="53"/>
        <v>ATRASADO</v>
      </c>
    </row>
    <row r="761" spans="2:10">
      <c r="B761" s="13" t="s">
        <v>880</v>
      </c>
      <c r="C761" s="19" t="s">
        <v>570</v>
      </c>
      <c r="D761" s="16" t="s">
        <v>889</v>
      </c>
      <c r="E761" s="10">
        <v>44228</v>
      </c>
      <c r="F761" s="90">
        <v>192000</v>
      </c>
      <c r="G761" s="10">
        <v>44228</v>
      </c>
      <c r="H761" s="90">
        <f t="shared" si="51"/>
        <v>0</v>
      </c>
      <c r="I761" s="90">
        <f t="shared" si="52"/>
        <v>192000</v>
      </c>
      <c r="J761" s="118" t="str">
        <f t="shared" si="53"/>
        <v>ATRASADO</v>
      </c>
    </row>
    <row r="762" spans="2:10">
      <c r="B762" s="13" t="s">
        <v>880</v>
      </c>
      <c r="C762" s="19" t="s">
        <v>570</v>
      </c>
      <c r="D762" s="16" t="s">
        <v>896</v>
      </c>
      <c r="E762" s="10">
        <v>44239</v>
      </c>
      <c r="F762" s="90">
        <v>170880</v>
      </c>
      <c r="G762" s="10">
        <v>44239</v>
      </c>
      <c r="H762" s="90">
        <f t="shared" si="51"/>
        <v>0</v>
      </c>
      <c r="I762" s="90">
        <f t="shared" si="52"/>
        <v>170880</v>
      </c>
      <c r="J762" s="118" t="str">
        <f t="shared" si="53"/>
        <v>ATRASADO</v>
      </c>
    </row>
    <row r="763" spans="2:10">
      <c r="B763" s="13" t="s">
        <v>880</v>
      </c>
      <c r="C763" s="19" t="s">
        <v>570</v>
      </c>
      <c r="D763" s="16" t="s">
        <v>633</v>
      </c>
      <c r="E763" s="10" t="s">
        <v>907</v>
      </c>
      <c r="F763" s="90">
        <v>140800</v>
      </c>
      <c r="G763" s="10" t="s">
        <v>907</v>
      </c>
      <c r="H763" s="90">
        <f t="shared" si="51"/>
        <v>0</v>
      </c>
      <c r="I763" s="90">
        <f t="shared" si="52"/>
        <v>140800</v>
      </c>
      <c r="J763" s="118" t="str">
        <f t="shared" si="53"/>
        <v>ATRASADO</v>
      </c>
    </row>
    <row r="764" spans="2:10">
      <c r="B764" s="13" t="s">
        <v>880</v>
      </c>
      <c r="C764" s="19" t="s">
        <v>570</v>
      </c>
      <c r="D764" s="16" t="s">
        <v>903</v>
      </c>
      <c r="E764" s="10">
        <v>44259</v>
      </c>
      <c r="F764" s="90">
        <v>144640</v>
      </c>
      <c r="G764" s="10">
        <v>44259</v>
      </c>
      <c r="H764" s="90">
        <f t="shared" si="51"/>
        <v>0</v>
      </c>
      <c r="I764" s="90">
        <f t="shared" si="52"/>
        <v>144640</v>
      </c>
      <c r="J764" s="118" t="str">
        <f t="shared" si="53"/>
        <v>ATRASADO</v>
      </c>
    </row>
    <row r="765" spans="2:10">
      <c r="B765" s="13" t="s">
        <v>880</v>
      </c>
      <c r="C765" s="19" t="s">
        <v>570</v>
      </c>
      <c r="D765" s="16" t="s">
        <v>904</v>
      </c>
      <c r="E765" s="10">
        <v>44264</v>
      </c>
      <c r="F765" s="90">
        <v>153600</v>
      </c>
      <c r="G765" s="10">
        <v>44264</v>
      </c>
      <c r="H765" s="90">
        <f t="shared" si="51"/>
        <v>0</v>
      </c>
      <c r="I765" s="90">
        <f t="shared" si="52"/>
        <v>153600</v>
      </c>
      <c r="J765" s="118" t="str">
        <f t="shared" si="53"/>
        <v>ATRASADO</v>
      </c>
    </row>
    <row r="766" spans="2:10">
      <c r="B766" s="13" t="s">
        <v>880</v>
      </c>
      <c r="C766" s="19" t="s">
        <v>570</v>
      </c>
      <c r="D766" s="16" t="s">
        <v>905</v>
      </c>
      <c r="E766" s="10" t="s">
        <v>894</v>
      </c>
      <c r="F766" s="90">
        <v>199040</v>
      </c>
      <c r="G766" s="10" t="s">
        <v>894</v>
      </c>
      <c r="H766" s="90">
        <f t="shared" si="51"/>
        <v>0</v>
      </c>
      <c r="I766" s="90">
        <f t="shared" si="52"/>
        <v>199040</v>
      </c>
      <c r="J766" s="118" t="str">
        <f t="shared" si="53"/>
        <v>ATRASADO</v>
      </c>
    </row>
    <row r="767" spans="2:10">
      <c r="B767" s="13" t="s">
        <v>880</v>
      </c>
      <c r="C767" s="19" t="s">
        <v>570</v>
      </c>
      <c r="D767" s="16" t="s">
        <v>906</v>
      </c>
      <c r="E767" s="10" t="s">
        <v>908</v>
      </c>
      <c r="F767" s="90">
        <v>139904</v>
      </c>
      <c r="G767" s="10" t="s">
        <v>908</v>
      </c>
      <c r="H767" s="90">
        <f t="shared" si="51"/>
        <v>0</v>
      </c>
      <c r="I767" s="90">
        <f t="shared" si="52"/>
        <v>139904</v>
      </c>
      <c r="J767" s="118" t="str">
        <f t="shared" si="53"/>
        <v>ATRASADO</v>
      </c>
    </row>
    <row r="768" spans="2:10">
      <c r="B768" s="13" t="s">
        <v>880</v>
      </c>
      <c r="C768" s="19" t="s">
        <v>570</v>
      </c>
      <c r="D768" s="16" t="s">
        <v>930</v>
      </c>
      <c r="E768" s="10">
        <v>44201</v>
      </c>
      <c r="F768" s="90">
        <v>92390.399999999994</v>
      </c>
      <c r="G768" s="10">
        <v>44201</v>
      </c>
      <c r="H768" s="90">
        <f t="shared" si="51"/>
        <v>0</v>
      </c>
      <c r="I768" s="90">
        <f t="shared" si="52"/>
        <v>92390.399999999994</v>
      </c>
      <c r="J768" s="118" t="str">
        <f t="shared" si="53"/>
        <v>ATRASADO</v>
      </c>
    </row>
    <row r="769" spans="2:10">
      <c r="B769" s="13" t="s">
        <v>880</v>
      </c>
      <c r="C769" s="19" t="s">
        <v>570</v>
      </c>
      <c r="D769" s="16" t="s">
        <v>939</v>
      </c>
      <c r="E769" s="10">
        <v>44382</v>
      </c>
      <c r="F769" s="90">
        <v>192000</v>
      </c>
      <c r="G769" s="10">
        <v>44382</v>
      </c>
      <c r="H769" s="90">
        <f t="shared" si="51"/>
        <v>0</v>
      </c>
      <c r="I769" s="90">
        <f t="shared" si="52"/>
        <v>192000</v>
      </c>
      <c r="J769" s="118" t="str">
        <f t="shared" si="53"/>
        <v>ATRASADO</v>
      </c>
    </row>
    <row r="770" spans="2:10">
      <c r="B770" s="13"/>
      <c r="C770" s="19"/>
      <c r="D770" s="16"/>
      <c r="E770" s="10"/>
      <c r="F770" s="32"/>
      <c r="G770" s="10"/>
    </row>
    <row r="771" spans="2:10">
      <c r="B771" s="13" t="s">
        <v>890</v>
      </c>
      <c r="C771" s="19" t="s">
        <v>570</v>
      </c>
      <c r="D771" s="16" t="s">
        <v>1031</v>
      </c>
      <c r="E771" s="10">
        <v>44294</v>
      </c>
      <c r="F771" s="32">
        <v>4156375</v>
      </c>
      <c r="G771" s="10">
        <v>44294</v>
      </c>
      <c r="H771" s="90">
        <f>IF(F771&gt;0,0,"")</f>
        <v>0</v>
      </c>
      <c r="I771" s="90">
        <f>IF(H771=0,F771,"")</f>
        <v>4156375</v>
      </c>
      <c r="J771" s="118" t="str">
        <f>IF(I771&gt;0,"ATRASADO","")</f>
        <v>ATRASADO</v>
      </c>
    </row>
    <row r="772" spans="2:10">
      <c r="B772" s="13"/>
      <c r="C772" s="19"/>
      <c r="D772" s="17"/>
      <c r="E772" s="10"/>
      <c r="F772" s="32"/>
      <c r="G772" s="10"/>
    </row>
    <row r="773" spans="2:10">
      <c r="B773" s="13" t="s">
        <v>969</v>
      </c>
      <c r="C773" s="19" t="s">
        <v>570</v>
      </c>
      <c r="D773" s="17" t="s">
        <v>961</v>
      </c>
      <c r="E773" s="10">
        <v>44204</v>
      </c>
      <c r="F773" s="32">
        <v>712500</v>
      </c>
      <c r="G773" s="10">
        <v>44204</v>
      </c>
      <c r="H773" s="90">
        <f>IF(F773&gt;0,0,"")</f>
        <v>0</v>
      </c>
      <c r="I773" s="90">
        <f>IF(H773=0,F773,"")</f>
        <v>712500</v>
      </c>
      <c r="J773" s="118" t="str">
        <f>IF(I773&gt;0,"ATRASADO","")</f>
        <v>ATRASADO</v>
      </c>
    </row>
    <row r="774" spans="2:10">
      <c r="B774" s="13" t="s">
        <v>969</v>
      </c>
      <c r="C774" s="19" t="s">
        <v>570</v>
      </c>
      <c r="D774" s="17" t="s">
        <v>1032</v>
      </c>
      <c r="E774" s="10">
        <v>44204</v>
      </c>
      <c r="F774" s="32">
        <v>712500</v>
      </c>
      <c r="G774" s="10">
        <v>44204</v>
      </c>
      <c r="H774" s="90">
        <f>IF(F774&gt;0,0,"")</f>
        <v>0</v>
      </c>
      <c r="I774" s="90">
        <f>IF(H774=0,F774,"")</f>
        <v>712500</v>
      </c>
      <c r="J774" s="118" t="str">
        <f>IF(I774&gt;0,"ATRASADO","")</f>
        <v>ATRASADO</v>
      </c>
    </row>
    <row r="775" spans="2:10">
      <c r="B775" s="13" t="s">
        <v>969</v>
      </c>
      <c r="C775" s="19" t="s">
        <v>570</v>
      </c>
      <c r="D775" s="17" t="s">
        <v>1034</v>
      </c>
      <c r="E775" s="10">
        <v>44204</v>
      </c>
      <c r="F775" s="32">
        <v>570000</v>
      </c>
      <c r="G775" s="10">
        <v>44204</v>
      </c>
      <c r="H775" s="90">
        <f>IF(F775&gt;0,0,"")</f>
        <v>0</v>
      </c>
      <c r="I775" s="90">
        <f>IF(H775=0,F775,"")</f>
        <v>570000</v>
      </c>
      <c r="J775" s="118" t="str">
        <f>IF(I775&gt;0,"ATRASADO","")</f>
        <v>ATRASADO</v>
      </c>
    </row>
    <row r="776" spans="2:10">
      <c r="B776" s="13" t="s">
        <v>969</v>
      </c>
      <c r="C776" s="19" t="s">
        <v>570</v>
      </c>
      <c r="D776" s="17" t="s">
        <v>1033</v>
      </c>
      <c r="E776" s="10">
        <v>44204</v>
      </c>
      <c r="F776" s="32">
        <v>570000</v>
      </c>
      <c r="G776" s="10">
        <v>44204</v>
      </c>
      <c r="H776" s="90">
        <f>IF(F776&gt;0,0,"")</f>
        <v>0</v>
      </c>
      <c r="I776" s="90">
        <f>IF(H776=0,F776,"")</f>
        <v>570000</v>
      </c>
      <c r="J776" s="118" t="str">
        <f>IF(I776&gt;0,"ATRASADO","")</f>
        <v>ATRASADO</v>
      </c>
    </row>
    <row r="777" spans="2:10">
      <c r="B777" s="13"/>
      <c r="C777" s="19"/>
      <c r="D777" s="17"/>
      <c r="E777" s="10"/>
      <c r="F777" s="32"/>
      <c r="G777" s="10"/>
    </row>
    <row r="778" spans="2:10">
      <c r="B778" s="13" t="s">
        <v>909</v>
      </c>
      <c r="C778" s="19" t="s">
        <v>570</v>
      </c>
      <c r="D778" s="72" t="s">
        <v>902</v>
      </c>
      <c r="E778" s="10">
        <v>44287</v>
      </c>
      <c r="F778" s="32">
        <v>93696</v>
      </c>
      <c r="G778" s="10">
        <v>44287</v>
      </c>
      <c r="H778" s="90">
        <f>IF(F778&gt;0,0,"")</f>
        <v>0</v>
      </c>
      <c r="I778" s="90">
        <f>IF(H778=0,F778,"")</f>
        <v>93696</v>
      </c>
      <c r="J778" s="118" t="str">
        <f>IF(I778&gt;0,"ATRASADO","")</f>
        <v>ATRASADO</v>
      </c>
    </row>
    <row r="779" spans="2:10">
      <c r="B779" s="13" t="s">
        <v>909</v>
      </c>
      <c r="C779" s="19" t="s">
        <v>570</v>
      </c>
      <c r="D779" s="72" t="s">
        <v>931</v>
      </c>
      <c r="E779" s="10">
        <v>44201</v>
      </c>
      <c r="F779" s="32">
        <v>44416</v>
      </c>
      <c r="G779" s="10">
        <v>44201</v>
      </c>
      <c r="H779" s="90">
        <f>IF(F779&gt;0,0,"")</f>
        <v>0</v>
      </c>
      <c r="I779" s="90">
        <f>IF(H779=0,F779,"")</f>
        <v>44416</v>
      </c>
      <c r="J779" s="118" t="str">
        <f>IF(I779&gt;0,"ATRASADO","")</f>
        <v>ATRASADO</v>
      </c>
    </row>
    <row r="780" spans="2:10">
      <c r="B780" s="13" t="s">
        <v>909</v>
      </c>
      <c r="C780" s="19" t="s">
        <v>570</v>
      </c>
      <c r="D780" s="72" t="s">
        <v>902</v>
      </c>
      <c r="E780" s="10">
        <v>44287</v>
      </c>
      <c r="F780" s="32">
        <v>55680</v>
      </c>
      <c r="G780" s="10">
        <v>44287</v>
      </c>
      <c r="H780" s="90">
        <f>IF(F780&gt;0,0,"")</f>
        <v>0</v>
      </c>
      <c r="I780" s="90">
        <f>IF(H780=0,F780,"")</f>
        <v>55680</v>
      </c>
      <c r="J780" s="118" t="str">
        <f>IF(I780&gt;0,"ATRASADO","")</f>
        <v>ATRASADO</v>
      </c>
    </row>
    <row r="781" spans="2:10">
      <c r="B781" s="13"/>
      <c r="C781" s="19"/>
      <c r="D781" s="17"/>
      <c r="E781" s="10"/>
      <c r="F781" s="32"/>
      <c r="G781" s="10"/>
    </row>
    <row r="782" spans="2:10">
      <c r="B782" s="13" t="s">
        <v>948</v>
      </c>
      <c r="C782" s="19" t="s">
        <v>102</v>
      </c>
      <c r="D782" s="17" t="s">
        <v>970</v>
      </c>
      <c r="E782" s="10">
        <v>44203</v>
      </c>
      <c r="F782" s="32">
        <v>35400</v>
      </c>
      <c r="G782" s="10">
        <v>44203</v>
      </c>
      <c r="H782" s="90">
        <f>IF(F782&gt;0,0,"")</f>
        <v>0</v>
      </c>
      <c r="I782" s="90">
        <f>IF(H782=0,F782,"")</f>
        <v>35400</v>
      </c>
      <c r="J782" s="118" t="str">
        <f>IF(I782&gt;0,"ATRASADO","")</f>
        <v>ATRASADO</v>
      </c>
    </row>
    <row r="783" spans="2:10">
      <c r="B783" s="13"/>
      <c r="C783" s="19"/>
      <c r="D783" s="17"/>
      <c r="E783" s="10"/>
      <c r="F783" s="32"/>
      <c r="G783" s="10"/>
    </row>
    <row r="784" spans="2:10" ht="24.75">
      <c r="B784" s="13" t="s">
        <v>182</v>
      </c>
      <c r="C784" s="19" t="s">
        <v>183</v>
      </c>
      <c r="D784" s="49" t="s">
        <v>181</v>
      </c>
      <c r="E784" s="11">
        <v>42004</v>
      </c>
      <c r="F784" s="32">
        <v>5818614.0499999998</v>
      </c>
      <c r="G784" s="11">
        <v>42004</v>
      </c>
      <c r="H784" s="90">
        <f t="shared" ref="H784:H793" si="54">IF(F784&gt;0,0,"")</f>
        <v>0</v>
      </c>
      <c r="I784" s="90">
        <f t="shared" ref="I784:I793" si="55">IF(H784=0,F784,"")</f>
        <v>5818614.0499999998</v>
      </c>
      <c r="J784" s="118" t="str">
        <f t="shared" ref="J784:J793" si="56">IF(I784&gt;0,"ATRASADO","")</f>
        <v>ATRASADO</v>
      </c>
    </row>
    <row r="785" spans="2:10">
      <c r="B785" s="13" t="s">
        <v>182</v>
      </c>
      <c r="C785" s="19" t="s">
        <v>184</v>
      </c>
      <c r="D785" s="49" t="s">
        <v>181</v>
      </c>
      <c r="E785" s="11">
        <v>42369</v>
      </c>
      <c r="F785" s="32">
        <v>658976.9</v>
      </c>
      <c r="G785" s="11">
        <v>42369</v>
      </c>
      <c r="H785" s="90">
        <f t="shared" si="54"/>
        <v>0</v>
      </c>
      <c r="I785" s="90">
        <f t="shared" si="55"/>
        <v>658976.9</v>
      </c>
      <c r="J785" s="118" t="str">
        <f t="shared" si="56"/>
        <v>ATRASADO</v>
      </c>
    </row>
    <row r="786" spans="2:10">
      <c r="B786" s="13" t="s">
        <v>182</v>
      </c>
      <c r="C786" s="19" t="s">
        <v>186</v>
      </c>
      <c r="D786" s="49" t="s">
        <v>185</v>
      </c>
      <c r="E786" s="11">
        <v>42735</v>
      </c>
      <c r="F786" s="32">
        <v>32740</v>
      </c>
      <c r="G786" s="11">
        <v>42735</v>
      </c>
      <c r="H786" s="90">
        <f t="shared" si="54"/>
        <v>0</v>
      </c>
      <c r="I786" s="90">
        <f t="shared" si="55"/>
        <v>32740</v>
      </c>
      <c r="J786" s="118" t="str">
        <f t="shared" si="56"/>
        <v>ATRASADO</v>
      </c>
    </row>
    <row r="787" spans="2:10">
      <c r="B787" s="13" t="s">
        <v>182</v>
      </c>
      <c r="C787" s="19" t="s">
        <v>873</v>
      </c>
      <c r="D787" s="49" t="s">
        <v>479</v>
      </c>
      <c r="E787" s="11">
        <v>43039</v>
      </c>
      <c r="F787" s="32">
        <v>167330</v>
      </c>
      <c r="G787" s="70">
        <v>43100</v>
      </c>
      <c r="H787" s="90">
        <f t="shared" si="54"/>
        <v>0</v>
      </c>
      <c r="I787" s="90">
        <f t="shared" si="55"/>
        <v>167330</v>
      </c>
      <c r="J787" s="118" t="str">
        <f t="shared" si="56"/>
        <v>ATRASADO</v>
      </c>
    </row>
    <row r="788" spans="2:10">
      <c r="B788" s="13" t="s">
        <v>182</v>
      </c>
      <c r="C788" s="19" t="s">
        <v>874</v>
      </c>
      <c r="D788" s="49" t="s">
        <v>571</v>
      </c>
      <c r="E788" s="11">
        <v>43131</v>
      </c>
      <c r="F788" s="32">
        <f>1415582.77-124176.44-8787.3</f>
        <v>1282619.03</v>
      </c>
      <c r="G788" s="11">
        <v>43465</v>
      </c>
      <c r="H788" s="90">
        <f t="shared" si="54"/>
        <v>0</v>
      </c>
      <c r="I788" s="90">
        <f t="shared" si="55"/>
        <v>1282619.03</v>
      </c>
      <c r="J788" s="118" t="str">
        <f t="shared" si="56"/>
        <v>ATRASADO</v>
      </c>
    </row>
    <row r="789" spans="2:10">
      <c r="B789" s="13" t="s">
        <v>182</v>
      </c>
      <c r="C789" s="19" t="s">
        <v>937</v>
      </c>
      <c r="D789" s="49" t="s">
        <v>936</v>
      </c>
      <c r="E789" s="11" t="s">
        <v>920</v>
      </c>
      <c r="F789" s="32">
        <v>8787.2999999999884</v>
      </c>
      <c r="G789" s="11" t="s">
        <v>892</v>
      </c>
      <c r="H789" s="90">
        <f t="shared" si="54"/>
        <v>0</v>
      </c>
      <c r="I789" s="90">
        <f t="shared" si="55"/>
        <v>8787.2999999999884</v>
      </c>
      <c r="J789" s="118" t="str">
        <f t="shared" si="56"/>
        <v>ATRASADO</v>
      </c>
    </row>
    <row r="790" spans="2:10">
      <c r="B790" s="13" t="s">
        <v>182</v>
      </c>
      <c r="C790" s="19" t="s">
        <v>945</v>
      </c>
      <c r="D790" s="49" t="s">
        <v>944</v>
      </c>
      <c r="E790" s="11" t="s">
        <v>942</v>
      </c>
      <c r="F790" s="32">
        <f>52573.47-13641.95</f>
        <v>38931.520000000004</v>
      </c>
      <c r="G790" s="11" t="s">
        <v>942</v>
      </c>
      <c r="H790" s="90">
        <f t="shared" si="54"/>
        <v>0</v>
      </c>
      <c r="I790" s="90">
        <f t="shared" si="55"/>
        <v>38931.520000000004</v>
      </c>
      <c r="J790" s="118" t="str">
        <f t="shared" si="56"/>
        <v>ATRASADO</v>
      </c>
    </row>
    <row r="791" spans="2:10">
      <c r="B791" s="13" t="s">
        <v>182</v>
      </c>
      <c r="C791" s="19" t="s">
        <v>975</v>
      </c>
      <c r="D791" s="49" t="s">
        <v>974</v>
      </c>
      <c r="E791" s="11" t="s">
        <v>972</v>
      </c>
      <c r="F791" s="32">
        <f>128016.89+6000</f>
        <v>134016.89000000001</v>
      </c>
      <c r="G791" s="11" t="s">
        <v>972</v>
      </c>
      <c r="H791" s="90">
        <f t="shared" si="54"/>
        <v>0</v>
      </c>
      <c r="I791" s="90">
        <f t="shared" si="55"/>
        <v>134016.89000000001</v>
      </c>
      <c r="J791" s="118" t="str">
        <f t="shared" si="56"/>
        <v>ATRASADO</v>
      </c>
    </row>
    <row r="792" spans="2:10">
      <c r="B792" s="13" t="s">
        <v>182</v>
      </c>
      <c r="C792" s="19" t="s">
        <v>1045</v>
      </c>
      <c r="D792" s="49" t="s">
        <v>1042</v>
      </c>
      <c r="E792" s="11" t="s">
        <v>1044</v>
      </c>
      <c r="F792" s="32">
        <v>946315.93</v>
      </c>
      <c r="G792" s="11" t="s">
        <v>1044</v>
      </c>
      <c r="H792" s="90">
        <f t="shared" si="54"/>
        <v>0</v>
      </c>
      <c r="I792" s="90">
        <f t="shared" si="55"/>
        <v>946315.93</v>
      </c>
      <c r="J792" s="118" t="str">
        <f t="shared" si="56"/>
        <v>ATRASADO</v>
      </c>
    </row>
    <row r="793" spans="2:10">
      <c r="B793" s="13" t="s">
        <v>182</v>
      </c>
      <c r="C793" s="19" t="s">
        <v>436</v>
      </c>
      <c r="D793" s="49" t="s">
        <v>437</v>
      </c>
      <c r="E793" s="11">
        <v>41137</v>
      </c>
      <c r="F793" s="32">
        <v>5365894.0599999996</v>
      </c>
      <c r="G793" s="11">
        <v>41137</v>
      </c>
      <c r="H793" s="90">
        <f t="shared" si="54"/>
        <v>0</v>
      </c>
      <c r="I793" s="90">
        <f t="shared" si="55"/>
        <v>5365894.0599999996</v>
      </c>
      <c r="J793" s="118" t="str">
        <f t="shared" si="56"/>
        <v>ATRASADO</v>
      </c>
    </row>
    <row r="794" spans="2:10">
      <c r="B794" s="13"/>
      <c r="C794" s="19"/>
      <c r="D794" s="49"/>
      <c r="E794" s="11"/>
      <c r="F794" s="32"/>
      <c r="G794" s="11"/>
    </row>
    <row r="795" spans="2:10">
      <c r="B795" s="107" t="s">
        <v>918</v>
      </c>
      <c r="C795" s="19" t="s">
        <v>570</v>
      </c>
      <c r="D795" s="49" t="s">
        <v>881</v>
      </c>
      <c r="E795" s="11" t="s">
        <v>898</v>
      </c>
      <c r="F795" s="32">
        <v>217800</v>
      </c>
      <c r="G795" s="11" t="s">
        <v>898</v>
      </c>
      <c r="H795" s="90">
        <f>IF(F795&gt;0,0,"")</f>
        <v>0</v>
      </c>
      <c r="I795" s="90">
        <f>IF(H795=0,F795,"")</f>
        <v>217800</v>
      </c>
      <c r="J795" s="118" t="str">
        <f>IF(I795&gt;0,"ATRASADO","")</f>
        <v>ATRASADO</v>
      </c>
    </row>
    <row r="796" spans="2:10">
      <c r="B796" s="107" t="s">
        <v>918</v>
      </c>
      <c r="C796" s="19" t="s">
        <v>570</v>
      </c>
      <c r="D796" s="49" t="s">
        <v>882</v>
      </c>
      <c r="E796" s="11">
        <v>44382</v>
      </c>
      <c r="F796" s="32">
        <v>105200</v>
      </c>
      <c r="G796" s="11">
        <v>44382</v>
      </c>
      <c r="H796" s="90">
        <f>IF(F796&gt;0,0,"")</f>
        <v>0</v>
      </c>
      <c r="I796" s="90">
        <f>IF(H796=0,F796,"")</f>
        <v>105200</v>
      </c>
      <c r="J796" s="118" t="str">
        <f>IF(I796&gt;0,"ATRASADO","")</f>
        <v>ATRASADO</v>
      </c>
    </row>
    <row r="797" spans="2:10">
      <c r="B797" s="13"/>
      <c r="C797" s="19"/>
      <c r="D797" s="49"/>
      <c r="E797" s="11"/>
      <c r="F797" s="32"/>
      <c r="G797" s="11"/>
    </row>
    <row r="798" spans="2:10">
      <c r="B798" s="13" t="s">
        <v>13</v>
      </c>
      <c r="C798" s="19" t="s">
        <v>14</v>
      </c>
      <c r="D798" s="16">
        <v>1500000004</v>
      </c>
      <c r="E798" s="10">
        <v>41340</v>
      </c>
      <c r="F798" s="32">
        <v>42264</v>
      </c>
      <c r="G798" s="10">
        <v>41340</v>
      </c>
      <c r="H798" s="90">
        <f>IF(F798&gt;0,0,"")</f>
        <v>0</v>
      </c>
      <c r="I798" s="90">
        <f>IF(H798=0,F798,"")</f>
        <v>42264</v>
      </c>
      <c r="J798" s="118" t="str">
        <f>IF(I798&gt;0,"ATRASADO","")</f>
        <v>ATRASADO</v>
      </c>
    </row>
    <row r="799" spans="2:10">
      <c r="B799" s="13" t="s">
        <v>13</v>
      </c>
      <c r="C799" s="19" t="s">
        <v>14</v>
      </c>
      <c r="D799" s="16">
        <v>1500000005</v>
      </c>
      <c r="E799" s="10">
        <v>41341</v>
      </c>
      <c r="F799" s="32">
        <v>41745</v>
      </c>
      <c r="G799" s="10">
        <v>41341</v>
      </c>
      <c r="H799" s="90">
        <f>IF(F799&gt;0,0,"")</f>
        <v>0</v>
      </c>
      <c r="I799" s="90">
        <f>IF(H799=0,F799,"")</f>
        <v>41745</v>
      </c>
      <c r="J799" s="118" t="str">
        <f>IF(I799&gt;0,"ATRASADO","")</f>
        <v>ATRASADO</v>
      </c>
    </row>
    <row r="800" spans="2:10">
      <c r="B800" s="13" t="s">
        <v>13</v>
      </c>
      <c r="C800" s="19" t="s">
        <v>14</v>
      </c>
      <c r="D800" s="16">
        <v>1500000006</v>
      </c>
      <c r="E800" s="10">
        <v>41341</v>
      </c>
      <c r="F800" s="32">
        <v>39082.550000000003</v>
      </c>
      <c r="G800" s="10">
        <v>41341</v>
      </c>
      <c r="H800" s="90">
        <f>IF(F800&gt;0,0,"")</f>
        <v>0</v>
      </c>
      <c r="I800" s="90">
        <f>IF(H800=0,F800,"")</f>
        <v>39082.550000000003</v>
      </c>
      <c r="J800" s="118" t="str">
        <f>IF(I800&gt;0,"ATRASADO","")</f>
        <v>ATRASADO</v>
      </c>
    </row>
    <row r="801" spans="2:10">
      <c r="B801" s="13"/>
      <c r="C801" s="19"/>
      <c r="D801" s="69"/>
      <c r="E801" s="29"/>
      <c r="F801" s="32"/>
      <c r="G801" s="29"/>
    </row>
    <row r="802" spans="2:10">
      <c r="B802" s="13" t="s">
        <v>92</v>
      </c>
      <c r="C802" s="19" t="s">
        <v>21</v>
      </c>
      <c r="D802" s="18" t="s">
        <v>33</v>
      </c>
      <c r="E802" s="23">
        <v>41517</v>
      </c>
      <c r="F802" s="32">
        <v>25960</v>
      </c>
      <c r="G802" s="10">
        <v>41517</v>
      </c>
      <c r="H802" s="90">
        <f t="shared" ref="H802:H826" si="57">IF(F802&gt;0,0,"")</f>
        <v>0</v>
      </c>
      <c r="I802" s="90">
        <f t="shared" ref="I802:I826" si="58">IF(H802=0,F802,"")</f>
        <v>25960</v>
      </c>
      <c r="J802" s="118" t="str">
        <f t="shared" ref="J802:J826" si="59">IF(I802&gt;0,"ATRASADO","")</f>
        <v>ATRASADO</v>
      </c>
    </row>
    <row r="803" spans="2:10">
      <c r="B803" s="13" t="s">
        <v>92</v>
      </c>
      <c r="C803" s="19" t="s">
        <v>21</v>
      </c>
      <c r="D803" s="18" t="s">
        <v>45</v>
      </c>
      <c r="E803" s="23">
        <v>41547</v>
      </c>
      <c r="F803" s="32">
        <v>25960</v>
      </c>
      <c r="G803" s="10">
        <v>41547</v>
      </c>
      <c r="H803" s="90">
        <f t="shared" si="57"/>
        <v>0</v>
      </c>
      <c r="I803" s="90">
        <f t="shared" si="58"/>
        <v>25960</v>
      </c>
      <c r="J803" s="118" t="str">
        <f t="shared" si="59"/>
        <v>ATRASADO</v>
      </c>
    </row>
    <row r="804" spans="2:10">
      <c r="B804" s="13" t="s">
        <v>92</v>
      </c>
      <c r="C804" s="19" t="s">
        <v>21</v>
      </c>
      <c r="D804" s="18" t="s">
        <v>46</v>
      </c>
      <c r="E804" s="23">
        <v>41577</v>
      </c>
      <c r="F804" s="32">
        <v>25960</v>
      </c>
      <c r="G804" s="10">
        <v>41577</v>
      </c>
      <c r="H804" s="90">
        <f t="shared" si="57"/>
        <v>0</v>
      </c>
      <c r="I804" s="90">
        <f t="shared" si="58"/>
        <v>25960</v>
      </c>
      <c r="J804" s="118" t="str">
        <f t="shared" si="59"/>
        <v>ATRASADO</v>
      </c>
    </row>
    <row r="805" spans="2:10">
      <c r="B805" s="13" t="s">
        <v>92</v>
      </c>
      <c r="C805" s="19" t="s">
        <v>21</v>
      </c>
      <c r="D805" s="18" t="s">
        <v>49</v>
      </c>
      <c r="E805" s="23">
        <v>41608</v>
      </c>
      <c r="F805" s="32">
        <v>25960</v>
      </c>
      <c r="G805" s="10">
        <v>41608</v>
      </c>
      <c r="H805" s="90">
        <f t="shared" si="57"/>
        <v>0</v>
      </c>
      <c r="I805" s="90">
        <f t="shared" si="58"/>
        <v>25960</v>
      </c>
      <c r="J805" s="118" t="str">
        <f t="shared" si="59"/>
        <v>ATRASADO</v>
      </c>
    </row>
    <row r="806" spans="2:10">
      <c r="B806" s="13" t="s">
        <v>92</v>
      </c>
      <c r="C806" s="19" t="s">
        <v>21</v>
      </c>
      <c r="D806" s="18" t="s">
        <v>50</v>
      </c>
      <c r="E806" s="23">
        <v>41638</v>
      </c>
      <c r="F806" s="32">
        <v>25960</v>
      </c>
      <c r="G806" s="10">
        <v>41638</v>
      </c>
      <c r="H806" s="90">
        <f t="shared" si="57"/>
        <v>0</v>
      </c>
      <c r="I806" s="90">
        <f t="shared" si="58"/>
        <v>25960</v>
      </c>
      <c r="J806" s="118" t="str">
        <f t="shared" si="59"/>
        <v>ATRASADO</v>
      </c>
    </row>
    <row r="807" spans="2:10">
      <c r="B807" s="13" t="s">
        <v>92</v>
      </c>
      <c r="C807" s="19" t="s">
        <v>21</v>
      </c>
      <c r="D807" s="18" t="s">
        <v>51</v>
      </c>
      <c r="E807" s="10">
        <v>41670</v>
      </c>
      <c r="F807" s="32">
        <v>25960</v>
      </c>
      <c r="G807" s="10">
        <v>41670</v>
      </c>
      <c r="H807" s="90">
        <f t="shared" si="57"/>
        <v>0</v>
      </c>
      <c r="I807" s="90">
        <f t="shared" si="58"/>
        <v>25960</v>
      </c>
      <c r="J807" s="118" t="str">
        <f t="shared" si="59"/>
        <v>ATRASADO</v>
      </c>
    </row>
    <row r="808" spans="2:10">
      <c r="B808" s="13" t="s">
        <v>92</v>
      </c>
      <c r="C808" s="19" t="s">
        <v>21</v>
      </c>
      <c r="D808" s="18" t="s">
        <v>52</v>
      </c>
      <c r="E808" s="10">
        <v>41698</v>
      </c>
      <c r="F808" s="32">
        <v>25960</v>
      </c>
      <c r="G808" s="10">
        <v>41698</v>
      </c>
      <c r="H808" s="90">
        <f t="shared" si="57"/>
        <v>0</v>
      </c>
      <c r="I808" s="90">
        <f t="shared" si="58"/>
        <v>25960</v>
      </c>
      <c r="J808" s="118" t="str">
        <f t="shared" si="59"/>
        <v>ATRASADO</v>
      </c>
    </row>
    <row r="809" spans="2:10">
      <c r="B809" s="13" t="s">
        <v>92</v>
      </c>
      <c r="C809" s="19" t="s">
        <v>21</v>
      </c>
      <c r="D809" s="18" t="s">
        <v>53</v>
      </c>
      <c r="E809" s="23">
        <v>41729</v>
      </c>
      <c r="F809" s="32">
        <v>25960</v>
      </c>
      <c r="G809" s="10">
        <v>41729</v>
      </c>
      <c r="H809" s="90">
        <f t="shared" si="57"/>
        <v>0</v>
      </c>
      <c r="I809" s="90">
        <f t="shared" si="58"/>
        <v>25960</v>
      </c>
      <c r="J809" s="118" t="str">
        <f t="shared" si="59"/>
        <v>ATRASADO</v>
      </c>
    </row>
    <row r="810" spans="2:10">
      <c r="B810" s="13" t="s">
        <v>92</v>
      </c>
      <c r="C810" s="19" t="s">
        <v>21</v>
      </c>
      <c r="D810" s="18" t="s">
        <v>58</v>
      </c>
      <c r="E810" s="23">
        <v>41759</v>
      </c>
      <c r="F810" s="32">
        <v>25960</v>
      </c>
      <c r="G810" s="10">
        <v>41759</v>
      </c>
      <c r="H810" s="90">
        <f t="shared" si="57"/>
        <v>0</v>
      </c>
      <c r="I810" s="90">
        <f t="shared" si="58"/>
        <v>25960</v>
      </c>
      <c r="J810" s="118" t="str">
        <f t="shared" si="59"/>
        <v>ATRASADO</v>
      </c>
    </row>
    <row r="811" spans="2:10">
      <c r="B811" s="13" t="s">
        <v>92</v>
      </c>
      <c r="C811" s="19" t="s">
        <v>21</v>
      </c>
      <c r="D811" s="18" t="s">
        <v>59</v>
      </c>
      <c r="E811" s="23">
        <v>41790</v>
      </c>
      <c r="F811" s="32">
        <v>25960</v>
      </c>
      <c r="G811" s="10">
        <v>41790</v>
      </c>
      <c r="H811" s="90">
        <f t="shared" si="57"/>
        <v>0</v>
      </c>
      <c r="I811" s="90">
        <f t="shared" si="58"/>
        <v>25960</v>
      </c>
      <c r="J811" s="118" t="str">
        <f t="shared" si="59"/>
        <v>ATRASADO</v>
      </c>
    </row>
    <row r="812" spans="2:10">
      <c r="B812" s="13" t="s">
        <v>92</v>
      </c>
      <c r="C812" s="19" t="s">
        <v>21</v>
      </c>
      <c r="D812" s="18" t="s">
        <v>60</v>
      </c>
      <c r="E812" s="23">
        <v>41820</v>
      </c>
      <c r="F812" s="32">
        <v>25960</v>
      </c>
      <c r="G812" s="10">
        <v>41820</v>
      </c>
      <c r="H812" s="90">
        <f t="shared" si="57"/>
        <v>0</v>
      </c>
      <c r="I812" s="90">
        <f t="shared" si="58"/>
        <v>25960</v>
      </c>
      <c r="J812" s="118" t="str">
        <f t="shared" si="59"/>
        <v>ATRASADO</v>
      </c>
    </row>
    <row r="813" spans="2:10">
      <c r="B813" s="13" t="s">
        <v>92</v>
      </c>
      <c r="C813" s="19" t="s">
        <v>21</v>
      </c>
      <c r="D813" s="18" t="s">
        <v>61</v>
      </c>
      <c r="E813" s="23">
        <v>41850</v>
      </c>
      <c r="F813" s="32">
        <v>25960</v>
      </c>
      <c r="G813" s="10">
        <v>41850</v>
      </c>
      <c r="H813" s="90">
        <f t="shared" si="57"/>
        <v>0</v>
      </c>
      <c r="I813" s="90">
        <f t="shared" si="58"/>
        <v>25960</v>
      </c>
      <c r="J813" s="118" t="str">
        <f t="shared" si="59"/>
        <v>ATRASADO</v>
      </c>
    </row>
    <row r="814" spans="2:10">
      <c r="B814" s="13" t="s">
        <v>92</v>
      </c>
      <c r="C814" s="19" t="s">
        <v>21</v>
      </c>
      <c r="D814" s="18" t="s">
        <v>62</v>
      </c>
      <c r="E814" s="23">
        <v>41881</v>
      </c>
      <c r="F814" s="32">
        <v>25960</v>
      </c>
      <c r="G814" s="10">
        <v>41881</v>
      </c>
      <c r="H814" s="90">
        <f t="shared" si="57"/>
        <v>0</v>
      </c>
      <c r="I814" s="90">
        <f t="shared" si="58"/>
        <v>25960</v>
      </c>
      <c r="J814" s="118" t="str">
        <f t="shared" si="59"/>
        <v>ATRASADO</v>
      </c>
    </row>
    <row r="815" spans="2:10">
      <c r="B815" s="13" t="s">
        <v>92</v>
      </c>
      <c r="C815" s="19" t="s">
        <v>21</v>
      </c>
      <c r="D815" s="18" t="s">
        <v>63</v>
      </c>
      <c r="E815" s="23">
        <v>41912</v>
      </c>
      <c r="F815" s="32">
        <v>28556</v>
      </c>
      <c r="G815" s="10">
        <v>41912</v>
      </c>
      <c r="H815" s="90">
        <f t="shared" si="57"/>
        <v>0</v>
      </c>
      <c r="I815" s="90">
        <f t="shared" si="58"/>
        <v>28556</v>
      </c>
      <c r="J815" s="118" t="str">
        <f t="shared" si="59"/>
        <v>ATRASADO</v>
      </c>
    </row>
    <row r="816" spans="2:10">
      <c r="B816" s="13" t="s">
        <v>92</v>
      </c>
      <c r="C816" s="19" t="s">
        <v>21</v>
      </c>
      <c r="D816" s="18" t="s">
        <v>64</v>
      </c>
      <c r="E816" s="23">
        <v>41943</v>
      </c>
      <c r="F816" s="32">
        <v>28556</v>
      </c>
      <c r="G816" s="10">
        <v>41943</v>
      </c>
      <c r="H816" s="90">
        <f t="shared" si="57"/>
        <v>0</v>
      </c>
      <c r="I816" s="90">
        <f t="shared" si="58"/>
        <v>28556</v>
      </c>
      <c r="J816" s="118" t="str">
        <f t="shared" si="59"/>
        <v>ATRASADO</v>
      </c>
    </row>
    <row r="817" spans="2:10">
      <c r="B817" s="13" t="s">
        <v>92</v>
      </c>
      <c r="C817" s="19" t="s">
        <v>21</v>
      </c>
      <c r="D817" s="18" t="s">
        <v>65</v>
      </c>
      <c r="E817" s="23">
        <v>41973</v>
      </c>
      <c r="F817" s="32">
        <v>28556</v>
      </c>
      <c r="G817" s="10">
        <v>41973</v>
      </c>
      <c r="H817" s="90">
        <f t="shared" si="57"/>
        <v>0</v>
      </c>
      <c r="I817" s="90">
        <f t="shared" si="58"/>
        <v>28556</v>
      </c>
      <c r="J817" s="118" t="str">
        <f t="shared" si="59"/>
        <v>ATRASADO</v>
      </c>
    </row>
    <row r="818" spans="2:10">
      <c r="B818" s="13" t="s">
        <v>92</v>
      </c>
      <c r="C818" s="19" t="s">
        <v>21</v>
      </c>
      <c r="D818" s="18" t="s">
        <v>66</v>
      </c>
      <c r="E818" s="23">
        <v>42004</v>
      </c>
      <c r="F818" s="32">
        <v>28556</v>
      </c>
      <c r="G818" s="10">
        <v>42004</v>
      </c>
      <c r="H818" s="90">
        <f t="shared" si="57"/>
        <v>0</v>
      </c>
      <c r="I818" s="90">
        <f t="shared" si="58"/>
        <v>28556</v>
      </c>
      <c r="J818" s="118" t="str">
        <f t="shared" si="59"/>
        <v>ATRASADO</v>
      </c>
    </row>
    <row r="819" spans="2:10">
      <c r="B819" s="13" t="s">
        <v>92</v>
      </c>
      <c r="C819" s="19" t="s">
        <v>21</v>
      </c>
      <c r="D819" s="21" t="s">
        <v>93</v>
      </c>
      <c r="E819" s="23">
        <v>42035</v>
      </c>
      <c r="F819" s="32">
        <v>28556</v>
      </c>
      <c r="G819" s="10">
        <v>42035</v>
      </c>
      <c r="H819" s="90">
        <f t="shared" si="57"/>
        <v>0</v>
      </c>
      <c r="I819" s="90">
        <f t="shared" si="58"/>
        <v>28556</v>
      </c>
      <c r="J819" s="118" t="str">
        <f t="shared" si="59"/>
        <v>ATRASADO</v>
      </c>
    </row>
    <row r="820" spans="2:10">
      <c r="B820" s="13" t="s">
        <v>92</v>
      </c>
      <c r="C820" s="19" t="s">
        <v>21</v>
      </c>
      <c r="D820" s="21" t="s">
        <v>94</v>
      </c>
      <c r="E820" s="23">
        <v>42063</v>
      </c>
      <c r="F820" s="32">
        <v>28556</v>
      </c>
      <c r="G820" s="10">
        <v>42063</v>
      </c>
      <c r="H820" s="90">
        <f t="shared" si="57"/>
        <v>0</v>
      </c>
      <c r="I820" s="90">
        <f t="shared" si="58"/>
        <v>28556</v>
      </c>
      <c r="J820" s="118" t="str">
        <f t="shared" si="59"/>
        <v>ATRASADO</v>
      </c>
    </row>
    <row r="821" spans="2:10">
      <c r="B821" s="13" t="s">
        <v>92</v>
      </c>
      <c r="C821" s="19" t="s">
        <v>21</v>
      </c>
      <c r="D821" s="21" t="s">
        <v>95</v>
      </c>
      <c r="E821" s="24">
        <v>42082</v>
      </c>
      <c r="F821" s="32">
        <v>28556</v>
      </c>
      <c r="G821" s="10">
        <v>42082</v>
      </c>
      <c r="H821" s="90">
        <f t="shared" si="57"/>
        <v>0</v>
      </c>
      <c r="I821" s="90">
        <f t="shared" si="58"/>
        <v>28556</v>
      </c>
      <c r="J821" s="118" t="str">
        <f t="shared" si="59"/>
        <v>ATRASADO</v>
      </c>
    </row>
    <row r="822" spans="2:10">
      <c r="B822" s="13" t="s">
        <v>92</v>
      </c>
      <c r="C822" s="19" t="s">
        <v>21</v>
      </c>
      <c r="D822" s="21" t="s">
        <v>96</v>
      </c>
      <c r="E822" s="24">
        <v>42113</v>
      </c>
      <c r="F822" s="32">
        <v>28556</v>
      </c>
      <c r="G822" s="10">
        <v>42113</v>
      </c>
      <c r="H822" s="90">
        <f t="shared" si="57"/>
        <v>0</v>
      </c>
      <c r="I822" s="90">
        <f t="shared" si="58"/>
        <v>28556</v>
      </c>
      <c r="J822" s="118" t="str">
        <f t="shared" si="59"/>
        <v>ATRASADO</v>
      </c>
    </row>
    <row r="823" spans="2:10">
      <c r="B823" s="13" t="s">
        <v>92</v>
      </c>
      <c r="C823" s="19" t="s">
        <v>21</v>
      </c>
      <c r="D823" s="21" t="s">
        <v>97</v>
      </c>
      <c r="E823" s="24">
        <v>42143</v>
      </c>
      <c r="F823" s="32">
        <v>28556</v>
      </c>
      <c r="G823" s="10">
        <v>42143</v>
      </c>
      <c r="H823" s="90">
        <f t="shared" si="57"/>
        <v>0</v>
      </c>
      <c r="I823" s="90">
        <f t="shared" si="58"/>
        <v>28556</v>
      </c>
      <c r="J823" s="118" t="str">
        <f t="shared" si="59"/>
        <v>ATRASADO</v>
      </c>
    </row>
    <row r="824" spans="2:10">
      <c r="B824" s="13" t="s">
        <v>92</v>
      </c>
      <c r="C824" s="19" t="s">
        <v>21</v>
      </c>
      <c r="D824" s="21" t="s">
        <v>98</v>
      </c>
      <c r="E824" s="24">
        <v>42174</v>
      </c>
      <c r="F824" s="32">
        <v>28556</v>
      </c>
      <c r="G824" s="10">
        <v>42174</v>
      </c>
      <c r="H824" s="90">
        <f t="shared" si="57"/>
        <v>0</v>
      </c>
      <c r="I824" s="90">
        <f t="shared" si="58"/>
        <v>28556</v>
      </c>
      <c r="J824" s="118" t="str">
        <f t="shared" si="59"/>
        <v>ATRASADO</v>
      </c>
    </row>
    <row r="825" spans="2:10">
      <c r="B825" s="13" t="s">
        <v>92</v>
      </c>
      <c r="C825" s="19" t="s">
        <v>21</v>
      </c>
      <c r="D825" s="21" t="s">
        <v>99</v>
      </c>
      <c r="E825" s="24">
        <v>42200</v>
      </c>
      <c r="F825" s="32">
        <v>28556</v>
      </c>
      <c r="G825" s="10">
        <v>42200</v>
      </c>
      <c r="H825" s="90">
        <f t="shared" si="57"/>
        <v>0</v>
      </c>
      <c r="I825" s="90">
        <f t="shared" si="58"/>
        <v>28556</v>
      </c>
      <c r="J825" s="118" t="str">
        <f t="shared" si="59"/>
        <v>ATRASADO</v>
      </c>
    </row>
    <row r="826" spans="2:10">
      <c r="B826" s="13" t="s">
        <v>92</v>
      </c>
      <c r="C826" s="19" t="s">
        <v>21</v>
      </c>
      <c r="D826" s="21" t="s">
        <v>100</v>
      </c>
      <c r="E826" s="24">
        <v>42231</v>
      </c>
      <c r="F826" s="32">
        <v>28556</v>
      </c>
      <c r="G826" s="10">
        <v>42231</v>
      </c>
      <c r="H826" s="90">
        <f t="shared" si="57"/>
        <v>0</v>
      </c>
      <c r="I826" s="90">
        <f t="shared" si="58"/>
        <v>28556</v>
      </c>
      <c r="J826" s="118" t="str">
        <f t="shared" si="59"/>
        <v>ATRASADO</v>
      </c>
    </row>
    <row r="827" spans="2:10">
      <c r="B827" s="13"/>
      <c r="C827" s="19"/>
      <c r="D827" s="17"/>
      <c r="E827" s="10"/>
      <c r="F827" s="32"/>
      <c r="G827" s="10"/>
    </row>
    <row r="828" spans="2:10" ht="24.75">
      <c r="B828" s="13" t="s">
        <v>187</v>
      </c>
      <c r="C828" s="19" t="s">
        <v>102</v>
      </c>
      <c r="D828" s="49">
        <v>1502430208</v>
      </c>
      <c r="E828" s="10">
        <v>42241</v>
      </c>
      <c r="F828" s="32">
        <v>14160</v>
      </c>
      <c r="G828" s="10">
        <v>42241</v>
      </c>
      <c r="H828" s="90">
        <f>IF(F828&gt;0,0,"")</f>
        <v>0</v>
      </c>
      <c r="I828" s="90">
        <f>IF(H828=0,F828,"")</f>
        <v>14160</v>
      </c>
      <c r="J828" s="118" t="str">
        <f>IF(I828&gt;0,"ATRASADO","")</f>
        <v>ATRASADO</v>
      </c>
    </row>
    <row r="829" spans="2:10">
      <c r="B829" s="13"/>
      <c r="C829" s="19"/>
      <c r="D829" s="49"/>
      <c r="E829" s="10"/>
      <c r="F829" s="32"/>
      <c r="G829" s="10"/>
    </row>
    <row r="830" spans="2:10">
      <c r="B830" s="13" t="s">
        <v>31</v>
      </c>
      <c r="C830" s="19" t="s">
        <v>27</v>
      </c>
      <c r="D830" s="17" t="s">
        <v>30</v>
      </c>
      <c r="E830" s="10">
        <v>44203</v>
      </c>
      <c r="F830" s="32">
        <v>130000</v>
      </c>
      <c r="G830" s="10">
        <v>41455</v>
      </c>
      <c r="H830" s="90">
        <f>IF(F830&gt;0,0,"")</f>
        <v>0</v>
      </c>
      <c r="I830" s="90">
        <f>IF(H830=0,F830,"")</f>
        <v>130000</v>
      </c>
      <c r="J830" s="118" t="str">
        <f>IF(I830&gt;0,"ATRASADO","")</f>
        <v>ATRASADO</v>
      </c>
    </row>
    <row r="831" spans="2:10">
      <c r="B831" s="13" t="s">
        <v>31</v>
      </c>
      <c r="C831" s="19" t="s">
        <v>27</v>
      </c>
      <c r="D831" s="17" t="s">
        <v>32</v>
      </c>
      <c r="E831" s="10">
        <v>41486</v>
      </c>
      <c r="F831" s="32">
        <v>130000</v>
      </c>
      <c r="G831" s="10">
        <v>41486</v>
      </c>
      <c r="H831" s="90">
        <f>IF(F831&gt;0,0,"")</f>
        <v>0</v>
      </c>
      <c r="I831" s="90">
        <f>IF(H831=0,F831,"")</f>
        <v>130000</v>
      </c>
      <c r="J831" s="118" t="str">
        <f>IF(I831&gt;0,"ATRASADO","")</f>
        <v>ATRASADO</v>
      </c>
    </row>
    <row r="832" spans="2:10">
      <c r="B832" s="13" t="s">
        <v>31</v>
      </c>
      <c r="C832" s="19" t="s">
        <v>27</v>
      </c>
      <c r="D832" s="17" t="s">
        <v>33</v>
      </c>
      <c r="E832" s="10">
        <v>41517</v>
      </c>
      <c r="F832" s="32">
        <v>130000</v>
      </c>
      <c r="G832" s="10">
        <v>41517</v>
      </c>
      <c r="H832" s="90">
        <f>IF(F832&gt;0,0,"")</f>
        <v>0</v>
      </c>
      <c r="I832" s="90">
        <f>IF(H832=0,F832,"")</f>
        <v>130000</v>
      </c>
      <c r="J832" s="118" t="str">
        <f>IF(I832&gt;0,"ATRASADO","")</f>
        <v>ATRASADO</v>
      </c>
    </row>
    <row r="833" spans="2:10">
      <c r="B833" s="13" t="s">
        <v>31</v>
      </c>
      <c r="C833" s="19" t="s">
        <v>27</v>
      </c>
      <c r="D833" s="17" t="s">
        <v>45</v>
      </c>
      <c r="E833" s="10">
        <v>41547</v>
      </c>
      <c r="F833" s="32">
        <v>130000</v>
      </c>
      <c r="G833" s="10">
        <v>41547</v>
      </c>
      <c r="H833" s="90">
        <f>IF(F833&gt;0,0,"")</f>
        <v>0</v>
      </c>
      <c r="I833" s="90">
        <f>IF(H833=0,F833,"")</f>
        <v>130000</v>
      </c>
      <c r="J833" s="118" t="str">
        <f>IF(I833&gt;0,"ATRASADO","")</f>
        <v>ATRASADO</v>
      </c>
    </row>
    <row r="834" spans="2:10">
      <c r="B834" s="13"/>
      <c r="C834" s="19"/>
      <c r="D834" s="17"/>
      <c r="E834" s="10"/>
      <c r="F834" s="32"/>
      <c r="G834" s="10"/>
    </row>
    <row r="835" spans="2:10">
      <c r="B835" s="13" t="s">
        <v>34</v>
      </c>
      <c r="C835" s="19" t="s">
        <v>20</v>
      </c>
      <c r="D835" s="17">
        <v>1500001395</v>
      </c>
      <c r="E835" s="10">
        <v>42012</v>
      </c>
      <c r="F835" s="32">
        <v>534600</v>
      </c>
      <c r="G835" s="10">
        <v>42012</v>
      </c>
      <c r="H835" s="90">
        <f>IF(F835&gt;0,0,"")</f>
        <v>0</v>
      </c>
      <c r="I835" s="90">
        <f>IF(H835=0,F835,"")</f>
        <v>534600</v>
      </c>
      <c r="J835" s="118" t="str">
        <f>IF(I835&gt;0,"ATRASADO","")</f>
        <v>ATRASADO</v>
      </c>
    </row>
    <row r="836" spans="2:10">
      <c r="B836" s="13" t="s">
        <v>34</v>
      </c>
      <c r="C836" s="19" t="s">
        <v>20</v>
      </c>
      <c r="D836" s="17">
        <v>1500001399</v>
      </c>
      <c r="E836" s="10">
        <v>42107</v>
      </c>
      <c r="F836" s="32">
        <v>534600</v>
      </c>
      <c r="G836" s="10">
        <v>42107</v>
      </c>
      <c r="H836" s="90">
        <f>IF(F836&gt;0,0,"")</f>
        <v>0</v>
      </c>
      <c r="I836" s="90">
        <f>IF(H836=0,F836,"")</f>
        <v>534600</v>
      </c>
      <c r="J836" s="118" t="str">
        <f>IF(I836&gt;0,"ATRASADO","")</f>
        <v>ATRASADO</v>
      </c>
    </row>
    <row r="837" spans="2:10">
      <c r="B837" s="13" t="s">
        <v>34</v>
      </c>
      <c r="C837" s="19" t="s">
        <v>20</v>
      </c>
      <c r="D837" s="17">
        <v>1500001417</v>
      </c>
      <c r="E837" s="10">
        <v>42517</v>
      </c>
      <c r="F837" s="32">
        <v>414030.5</v>
      </c>
      <c r="G837" s="10">
        <v>42517</v>
      </c>
      <c r="H837" s="90">
        <f>IF(F837&gt;0,0,"")</f>
        <v>0</v>
      </c>
      <c r="I837" s="90">
        <f>IF(H837=0,F837,"")</f>
        <v>414030.5</v>
      </c>
      <c r="J837" s="118" t="str">
        <f>IF(I837&gt;0,"ATRASADO","")</f>
        <v>ATRASADO</v>
      </c>
    </row>
    <row r="838" spans="2:10">
      <c r="B838" s="13"/>
      <c r="C838" s="19"/>
      <c r="D838" s="17"/>
      <c r="E838" s="10"/>
      <c r="F838" s="32"/>
      <c r="G838" s="10"/>
    </row>
    <row r="839" spans="2:10" ht="24.75">
      <c r="B839" s="13" t="s">
        <v>188</v>
      </c>
      <c r="C839" s="19" t="s">
        <v>183</v>
      </c>
      <c r="D839" s="49" t="s">
        <v>181</v>
      </c>
      <c r="E839" s="11">
        <v>42004</v>
      </c>
      <c r="F839" s="32">
        <v>1156738</v>
      </c>
      <c r="G839" s="11">
        <v>42004</v>
      </c>
      <c r="H839" s="90">
        <f t="shared" ref="H839:H888" si="60">IF(F839&gt;0,0,"")</f>
        <v>0</v>
      </c>
      <c r="I839" s="90">
        <f t="shared" ref="I839:I888" si="61">IF(H839=0,F839,"")</f>
        <v>1156738</v>
      </c>
      <c r="J839" s="118" t="str">
        <f t="shared" ref="J839:J888" si="62">IF(I839&gt;0,"ATRASADO","")</f>
        <v>ATRASADO</v>
      </c>
    </row>
    <row r="840" spans="2:10">
      <c r="B840" s="13" t="s">
        <v>188</v>
      </c>
      <c r="C840" s="19" t="s">
        <v>189</v>
      </c>
      <c r="D840" s="49" t="s">
        <v>181</v>
      </c>
      <c r="E840" s="11">
        <v>42369</v>
      </c>
      <c r="F840" s="32">
        <f>565925+1175</f>
        <v>567100</v>
      </c>
      <c r="G840" s="11">
        <v>42369</v>
      </c>
      <c r="H840" s="90">
        <f t="shared" si="60"/>
        <v>0</v>
      </c>
      <c r="I840" s="90">
        <f t="shared" si="61"/>
        <v>567100</v>
      </c>
      <c r="J840" s="118" t="str">
        <f t="shared" si="62"/>
        <v>ATRASADO</v>
      </c>
    </row>
    <row r="841" spans="2:10">
      <c r="B841" s="13" t="s">
        <v>188</v>
      </c>
      <c r="C841" s="19" t="s">
        <v>470</v>
      </c>
      <c r="D841" s="49" t="s">
        <v>190</v>
      </c>
      <c r="E841" s="11">
        <v>42400</v>
      </c>
      <c r="F841" s="32">
        <v>606975</v>
      </c>
      <c r="G841" s="11">
        <v>42400</v>
      </c>
      <c r="H841" s="90">
        <f t="shared" si="60"/>
        <v>0</v>
      </c>
      <c r="I841" s="90">
        <f t="shared" si="61"/>
        <v>606975</v>
      </c>
      <c r="J841" s="118" t="str">
        <f t="shared" si="62"/>
        <v>ATRASADO</v>
      </c>
    </row>
    <row r="842" spans="2:10">
      <c r="B842" s="13" t="s">
        <v>188</v>
      </c>
      <c r="C842" s="19" t="s">
        <v>191</v>
      </c>
      <c r="D842" s="49" t="s">
        <v>127</v>
      </c>
      <c r="E842" s="11">
        <v>42766</v>
      </c>
      <c r="F842" s="32">
        <v>49825</v>
      </c>
      <c r="G842" s="11">
        <v>42766</v>
      </c>
      <c r="H842" s="90">
        <f t="shared" si="60"/>
        <v>0</v>
      </c>
      <c r="I842" s="90">
        <f t="shared" si="61"/>
        <v>49825</v>
      </c>
      <c r="J842" s="118" t="str">
        <f t="shared" si="62"/>
        <v>ATRASADO</v>
      </c>
    </row>
    <row r="843" spans="2:10">
      <c r="B843" s="13" t="s">
        <v>188</v>
      </c>
      <c r="C843" s="19" t="s">
        <v>192</v>
      </c>
      <c r="D843" s="49" t="s">
        <v>128</v>
      </c>
      <c r="E843" s="11">
        <v>42794</v>
      </c>
      <c r="F843" s="32">
        <v>49175</v>
      </c>
      <c r="G843" s="11">
        <v>42794</v>
      </c>
      <c r="H843" s="90">
        <f t="shared" si="60"/>
        <v>0</v>
      </c>
      <c r="I843" s="90">
        <f t="shared" si="61"/>
        <v>49175</v>
      </c>
      <c r="J843" s="118" t="str">
        <f t="shared" si="62"/>
        <v>ATRASADO</v>
      </c>
    </row>
    <row r="844" spans="2:10">
      <c r="B844" s="13" t="s">
        <v>188</v>
      </c>
      <c r="C844" s="19" t="s">
        <v>193</v>
      </c>
      <c r="D844" s="49" t="s">
        <v>129</v>
      </c>
      <c r="E844" s="11">
        <v>42825</v>
      </c>
      <c r="F844" s="32">
        <v>48900</v>
      </c>
      <c r="G844" s="11">
        <v>42825</v>
      </c>
      <c r="H844" s="90">
        <f t="shared" si="60"/>
        <v>0</v>
      </c>
      <c r="I844" s="90">
        <f t="shared" si="61"/>
        <v>48900</v>
      </c>
      <c r="J844" s="118" t="str">
        <f t="shared" si="62"/>
        <v>ATRASADO</v>
      </c>
    </row>
    <row r="845" spans="2:10">
      <c r="B845" s="13" t="s">
        <v>188</v>
      </c>
      <c r="C845" s="19" t="s">
        <v>194</v>
      </c>
      <c r="D845" s="49" t="s">
        <v>130</v>
      </c>
      <c r="E845" s="11">
        <v>42855</v>
      </c>
      <c r="F845" s="32">
        <v>48600</v>
      </c>
      <c r="G845" s="11">
        <v>42855</v>
      </c>
      <c r="H845" s="90">
        <f t="shared" si="60"/>
        <v>0</v>
      </c>
      <c r="I845" s="90">
        <f t="shared" si="61"/>
        <v>48600</v>
      </c>
      <c r="J845" s="118" t="str">
        <f t="shared" si="62"/>
        <v>ATRASADO</v>
      </c>
    </row>
    <row r="846" spans="2:10">
      <c r="B846" s="13" t="s">
        <v>188</v>
      </c>
      <c r="C846" s="19" t="s">
        <v>195</v>
      </c>
      <c r="D846" s="49" t="s">
        <v>131</v>
      </c>
      <c r="E846" s="11">
        <v>42886</v>
      </c>
      <c r="F846" s="32">
        <v>49075</v>
      </c>
      <c r="G846" s="11">
        <v>42886</v>
      </c>
      <c r="H846" s="90">
        <f t="shared" si="60"/>
        <v>0</v>
      </c>
      <c r="I846" s="90">
        <f t="shared" si="61"/>
        <v>49075</v>
      </c>
      <c r="J846" s="118" t="str">
        <f t="shared" si="62"/>
        <v>ATRASADO</v>
      </c>
    </row>
    <row r="847" spans="2:10">
      <c r="B847" s="13" t="s">
        <v>188</v>
      </c>
      <c r="C847" s="19" t="s">
        <v>196</v>
      </c>
      <c r="D847" s="49" t="s">
        <v>108</v>
      </c>
      <c r="E847" s="11">
        <v>42916</v>
      </c>
      <c r="F847" s="32">
        <v>49050</v>
      </c>
      <c r="G847" s="11">
        <v>42916</v>
      </c>
      <c r="H847" s="90">
        <f t="shared" si="60"/>
        <v>0</v>
      </c>
      <c r="I847" s="90">
        <f t="shared" si="61"/>
        <v>49050</v>
      </c>
      <c r="J847" s="118" t="str">
        <f t="shared" si="62"/>
        <v>ATRASADO</v>
      </c>
    </row>
    <row r="848" spans="2:10">
      <c r="B848" s="13" t="s">
        <v>188</v>
      </c>
      <c r="C848" s="19" t="s">
        <v>197</v>
      </c>
      <c r="D848" s="49" t="s">
        <v>111</v>
      </c>
      <c r="E848" s="11">
        <v>42947</v>
      </c>
      <c r="F848" s="32">
        <v>48950</v>
      </c>
      <c r="G848" s="11">
        <v>42947</v>
      </c>
      <c r="H848" s="90">
        <f t="shared" si="60"/>
        <v>0</v>
      </c>
      <c r="I848" s="90">
        <f t="shared" si="61"/>
        <v>48950</v>
      </c>
      <c r="J848" s="118" t="str">
        <f t="shared" si="62"/>
        <v>ATRASADO</v>
      </c>
    </row>
    <row r="849" spans="2:10">
      <c r="B849" s="13" t="s">
        <v>188</v>
      </c>
      <c r="C849" s="19" t="s">
        <v>198</v>
      </c>
      <c r="D849" s="49" t="s">
        <v>112</v>
      </c>
      <c r="E849" s="11">
        <v>42978</v>
      </c>
      <c r="F849" s="32">
        <v>48825</v>
      </c>
      <c r="G849" s="11">
        <v>42978</v>
      </c>
      <c r="H849" s="90">
        <f t="shared" si="60"/>
        <v>0</v>
      </c>
      <c r="I849" s="90">
        <f t="shared" si="61"/>
        <v>48825</v>
      </c>
      <c r="J849" s="118" t="str">
        <f t="shared" si="62"/>
        <v>ATRASADO</v>
      </c>
    </row>
    <row r="850" spans="2:10">
      <c r="B850" s="13" t="s">
        <v>188</v>
      </c>
      <c r="C850" s="19" t="s">
        <v>474</v>
      </c>
      <c r="D850" s="49" t="s">
        <v>473</v>
      </c>
      <c r="E850" s="11">
        <v>43008</v>
      </c>
      <c r="F850" s="32">
        <v>48550</v>
      </c>
      <c r="G850" s="11">
        <v>43008</v>
      </c>
      <c r="H850" s="90">
        <f t="shared" si="60"/>
        <v>0</v>
      </c>
      <c r="I850" s="90">
        <f t="shared" si="61"/>
        <v>48550</v>
      </c>
      <c r="J850" s="118" t="str">
        <f t="shared" si="62"/>
        <v>ATRASADO</v>
      </c>
    </row>
    <row r="851" spans="2:10">
      <c r="B851" s="13" t="s">
        <v>188</v>
      </c>
      <c r="C851" s="19" t="s">
        <v>480</v>
      </c>
      <c r="D851" s="49" t="s">
        <v>479</v>
      </c>
      <c r="E851" s="11">
        <v>43039</v>
      </c>
      <c r="F851" s="32">
        <v>48350</v>
      </c>
      <c r="G851" s="11">
        <v>43039</v>
      </c>
      <c r="H851" s="90">
        <f t="shared" si="60"/>
        <v>0</v>
      </c>
      <c r="I851" s="90">
        <f t="shared" si="61"/>
        <v>48350</v>
      </c>
      <c r="J851" s="118" t="str">
        <f t="shared" si="62"/>
        <v>ATRASADO</v>
      </c>
    </row>
    <row r="852" spans="2:10">
      <c r="B852" s="13" t="s">
        <v>188</v>
      </c>
      <c r="C852" s="19" t="s">
        <v>486</v>
      </c>
      <c r="D852" s="49" t="s">
        <v>484</v>
      </c>
      <c r="E852" s="11">
        <v>43069</v>
      </c>
      <c r="F852" s="32">
        <v>48350</v>
      </c>
      <c r="G852" s="11">
        <v>43069</v>
      </c>
      <c r="H852" s="90">
        <f t="shared" si="60"/>
        <v>0</v>
      </c>
      <c r="I852" s="90">
        <f t="shared" si="61"/>
        <v>48350</v>
      </c>
      <c r="J852" s="118" t="str">
        <f t="shared" si="62"/>
        <v>ATRASADO</v>
      </c>
    </row>
    <row r="853" spans="2:10">
      <c r="B853" s="13" t="s">
        <v>188</v>
      </c>
      <c r="C853" s="19" t="s">
        <v>487</v>
      </c>
      <c r="D853" s="49" t="s">
        <v>485</v>
      </c>
      <c r="E853" s="11">
        <v>43100</v>
      </c>
      <c r="F853" s="32">
        <v>48150</v>
      </c>
      <c r="G853" s="11">
        <v>43100</v>
      </c>
      <c r="H853" s="90">
        <f t="shared" si="60"/>
        <v>0</v>
      </c>
      <c r="I853" s="90">
        <f t="shared" si="61"/>
        <v>48150</v>
      </c>
      <c r="J853" s="118" t="str">
        <f t="shared" si="62"/>
        <v>ATRASADO</v>
      </c>
    </row>
    <row r="854" spans="2:10">
      <c r="B854" s="13" t="s">
        <v>188</v>
      </c>
      <c r="C854" s="19" t="s">
        <v>572</v>
      </c>
      <c r="D854" s="49" t="s">
        <v>571</v>
      </c>
      <c r="E854" s="11">
        <v>43131</v>
      </c>
      <c r="F854" s="32">
        <v>50600</v>
      </c>
      <c r="G854" s="11">
        <v>43131</v>
      </c>
      <c r="H854" s="90">
        <f t="shared" si="60"/>
        <v>0</v>
      </c>
      <c r="I854" s="90">
        <f t="shared" si="61"/>
        <v>50600</v>
      </c>
      <c r="J854" s="118" t="str">
        <f t="shared" si="62"/>
        <v>ATRASADO</v>
      </c>
    </row>
    <row r="855" spans="2:10">
      <c r="B855" s="13" t="s">
        <v>188</v>
      </c>
      <c r="C855" s="19" t="s">
        <v>580</v>
      </c>
      <c r="D855" s="49" t="s">
        <v>574</v>
      </c>
      <c r="E855" s="11">
        <v>43159</v>
      </c>
      <c r="F855" s="32">
        <v>50700</v>
      </c>
      <c r="G855" s="11">
        <v>43159</v>
      </c>
      <c r="H855" s="90">
        <f t="shared" si="60"/>
        <v>0</v>
      </c>
      <c r="I855" s="90">
        <f t="shared" si="61"/>
        <v>50700</v>
      </c>
      <c r="J855" s="118" t="str">
        <f t="shared" si="62"/>
        <v>ATRASADO</v>
      </c>
    </row>
    <row r="856" spans="2:10">
      <c r="B856" s="13" t="s">
        <v>188</v>
      </c>
      <c r="C856" s="19" t="s">
        <v>581</v>
      </c>
      <c r="D856" s="49" t="s">
        <v>577</v>
      </c>
      <c r="E856" s="11">
        <v>43190</v>
      </c>
      <c r="F856" s="32">
        <v>52625</v>
      </c>
      <c r="G856" s="11">
        <v>43190</v>
      </c>
      <c r="H856" s="90">
        <f t="shared" si="60"/>
        <v>0</v>
      </c>
      <c r="I856" s="90">
        <f t="shared" si="61"/>
        <v>52625</v>
      </c>
      <c r="J856" s="118" t="str">
        <f t="shared" si="62"/>
        <v>ATRASADO</v>
      </c>
    </row>
    <row r="857" spans="2:10">
      <c r="B857" s="13" t="s">
        <v>188</v>
      </c>
      <c r="C857" s="19" t="s">
        <v>582</v>
      </c>
      <c r="D857" s="49" t="s">
        <v>579</v>
      </c>
      <c r="E857" s="11">
        <v>43220</v>
      </c>
      <c r="F857" s="32">
        <v>52975</v>
      </c>
      <c r="G857" s="11">
        <v>43220</v>
      </c>
      <c r="H857" s="90">
        <f t="shared" si="60"/>
        <v>0</v>
      </c>
      <c r="I857" s="90">
        <f t="shared" si="61"/>
        <v>52975</v>
      </c>
      <c r="J857" s="118" t="str">
        <f t="shared" si="62"/>
        <v>ATRASADO</v>
      </c>
    </row>
    <row r="858" spans="2:10">
      <c r="B858" s="13" t="s">
        <v>188</v>
      </c>
      <c r="C858" s="19" t="s">
        <v>588</v>
      </c>
      <c r="D858" s="49" t="s">
        <v>587</v>
      </c>
      <c r="E858" s="11">
        <v>43251</v>
      </c>
      <c r="F858" s="32">
        <v>52900</v>
      </c>
      <c r="G858" s="11">
        <v>43251</v>
      </c>
      <c r="H858" s="90">
        <f t="shared" si="60"/>
        <v>0</v>
      </c>
      <c r="I858" s="90">
        <f t="shared" si="61"/>
        <v>52900</v>
      </c>
      <c r="J858" s="118" t="str">
        <f t="shared" si="62"/>
        <v>ATRASADO</v>
      </c>
    </row>
    <row r="859" spans="2:10">
      <c r="B859" s="13" t="s">
        <v>188</v>
      </c>
      <c r="C859" s="19" t="s">
        <v>596</v>
      </c>
      <c r="D859" s="49" t="s">
        <v>594</v>
      </c>
      <c r="E859" s="11">
        <v>43281</v>
      </c>
      <c r="F859" s="32">
        <v>53775</v>
      </c>
      <c r="G859" s="11">
        <v>43281</v>
      </c>
      <c r="H859" s="90">
        <f t="shared" si="60"/>
        <v>0</v>
      </c>
      <c r="I859" s="90">
        <f t="shared" si="61"/>
        <v>53775</v>
      </c>
      <c r="J859" s="118" t="str">
        <f t="shared" si="62"/>
        <v>ATRASADO</v>
      </c>
    </row>
    <row r="860" spans="2:10">
      <c r="B860" s="13" t="s">
        <v>188</v>
      </c>
      <c r="C860" s="19" t="s">
        <v>603</v>
      </c>
      <c r="D860" s="49" t="s">
        <v>602</v>
      </c>
      <c r="E860" s="11">
        <v>43311</v>
      </c>
      <c r="F860" s="32">
        <v>53700</v>
      </c>
      <c r="G860" s="11">
        <v>43311</v>
      </c>
      <c r="H860" s="90">
        <f t="shared" si="60"/>
        <v>0</v>
      </c>
      <c r="I860" s="90">
        <f t="shared" si="61"/>
        <v>53700</v>
      </c>
      <c r="J860" s="118" t="str">
        <f t="shared" si="62"/>
        <v>ATRASADO</v>
      </c>
    </row>
    <row r="861" spans="2:10">
      <c r="B861" s="13" t="s">
        <v>188</v>
      </c>
      <c r="C861" s="19" t="s">
        <v>619</v>
      </c>
      <c r="D861" s="49" t="s">
        <v>618</v>
      </c>
      <c r="E861" s="11">
        <v>43343</v>
      </c>
      <c r="F861" s="32">
        <v>53650</v>
      </c>
      <c r="G861" s="11">
        <v>43343</v>
      </c>
      <c r="H861" s="90">
        <f t="shared" si="60"/>
        <v>0</v>
      </c>
      <c r="I861" s="90">
        <f t="shared" si="61"/>
        <v>53650</v>
      </c>
      <c r="J861" s="118" t="str">
        <f t="shared" si="62"/>
        <v>ATRASADO</v>
      </c>
    </row>
    <row r="862" spans="2:10">
      <c r="B862" s="13" t="s">
        <v>188</v>
      </c>
      <c r="C862" s="19" t="s">
        <v>626</v>
      </c>
      <c r="D862" s="49" t="s">
        <v>625</v>
      </c>
      <c r="E862" s="11">
        <v>43373</v>
      </c>
      <c r="F862" s="32">
        <v>54525</v>
      </c>
      <c r="G862" s="11">
        <v>43373</v>
      </c>
      <c r="H862" s="90">
        <f t="shared" si="60"/>
        <v>0</v>
      </c>
      <c r="I862" s="90">
        <f t="shared" si="61"/>
        <v>54525</v>
      </c>
      <c r="J862" s="118" t="str">
        <f t="shared" si="62"/>
        <v>ATRASADO</v>
      </c>
    </row>
    <row r="863" spans="2:10">
      <c r="B863" s="13" t="s">
        <v>188</v>
      </c>
      <c r="C863" s="19" t="s">
        <v>635</v>
      </c>
      <c r="D863" s="49" t="s">
        <v>634</v>
      </c>
      <c r="E863" s="11">
        <v>43404</v>
      </c>
      <c r="F863" s="32">
        <v>54275</v>
      </c>
      <c r="G863" s="11">
        <v>43404</v>
      </c>
      <c r="H863" s="90">
        <f t="shared" si="60"/>
        <v>0</v>
      </c>
      <c r="I863" s="90">
        <f t="shared" si="61"/>
        <v>54275</v>
      </c>
      <c r="J863" s="118" t="str">
        <f t="shared" si="62"/>
        <v>ATRASADO</v>
      </c>
    </row>
    <row r="864" spans="2:10">
      <c r="B864" s="13" t="s">
        <v>188</v>
      </c>
      <c r="C864" s="19" t="s">
        <v>641</v>
      </c>
      <c r="D864" s="49" t="s">
        <v>640</v>
      </c>
      <c r="E864" s="11">
        <v>43434</v>
      </c>
      <c r="F864" s="32">
        <v>54275</v>
      </c>
      <c r="G864" s="11">
        <v>43404</v>
      </c>
      <c r="H864" s="90">
        <f t="shared" si="60"/>
        <v>0</v>
      </c>
      <c r="I864" s="90">
        <f t="shared" si="61"/>
        <v>54275</v>
      </c>
      <c r="J864" s="118" t="str">
        <f t="shared" si="62"/>
        <v>ATRASADO</v>
      </c>
    </row>
    <row r="865" spans="2:10">
      <c r="B865" s="13" t="s">
        <v>188</v>
      </c>
      <c r="C865" s="19" t="s">
        <v>651</v>
      </c>
      <c r="D865" s="49" t="s">
        <v>650</v>
      </c>
      <c r="E865" s="11">
        <v>43465</v>
      </c>
      <c r="F865" s="32">
        <v>54350</v>
      </c>
      <c r="G865" s="11">
        <v>43465</v>
      </c>
      <c r="H865" s="90">
        <f t="shared" si="60"/>
        <v>0</v>
      </c>
      <c r="I865" s="90">
        <f t="shared" si="61"/>
        <v>54350</v>
      </c>
      <c r="J865" s="118" t="str">
        <f t="shared" si="62"/>
        <v>ATRASADO</v>
      </c>
    </row>
    <row r="866" spans="2:10">
      <c r="B866" s="13" t="s">
        <v>188</v>
      </c>
      <c r="C866" s="19" t="s">
        <v>655</v>
      </c>
      <c r="D866" s="49" t="s">
        <v>653</v>
      </c>
      <c r="E866" s="11">
        <v>43496</v>
      </c>
      <c r="F866" s="32">
        <v>54275</v>
      </c>
      <c r="G866" s="11">
        <v>43496</v>
      </c>
      <c r="H866" s="90">
        <f t="shared" si="60"/>
        <v>0</v>
      </c>
      <c r="I866" s="90">
        <f t="shared" si="61"/>
        <v>54275</v>
      </c>
      <c r="J866" s="118" t="str">
        <f t="shared" si="62"/>
        <v>ATRASADO</v>
      </c>
    </row>
    <row r="867" spans="2:10">
      <c r="B867" s="13" t="s">
        <v>188</v>
      </c>
      <c r="C867" s="19" t="s">
        <v>663</v>
      </c>
      <c r="D867" s="49" t="s">
        <v>661</v>
      </c>
      <c r="E867" s="11">
        <v>43521</v>
      </c>
      <c r="F867" s="32">
        <v>54225</v>
      </c>
      <c r="G867" s="11">
        <v>43521</v>
      </c>
      <c r="H867" s="90">
        <f t="shared" si="60"/>
        <v>0</v>
      </c>
      <c r="I867" s="90">
        <f t="shared" si="61"/>
        <v>54225</v>
      </c>
      <c r="J867" s="118" t="str">
        <f t="shared" si="62"/>
        <v>ATRASADO</v>
      </c>
    </row>
    <row r="868" spans="2:10">
      <c r="B868" s="13" t="s">
        <v>188</v>
      </c>
      <c r="C868" s="19" t="s">
        <v>670</v>
      </c>
      <c r="D868" s="49" t="s">
        <v>669</v>
      </c>
      <c r="E868" s="11">
        <v>43549</v>
      </c>
      <c r="F868" s="32">
        <v>54050</v>
      </c>
      <c r="G868" s="11">
        <v>43549</v>
      </c>
      <c r="H868" s="90">
        <f t="shared" si="60"/>
        <v>0</v>
      </c>
      <c r="I868" s="90">
        <f t="shared" si="61"/>
        <v>54050</v>
      </c>
      <c r="J868" s="118" t="str">
        <f t="shared" si="62"/>
        <v>ATRASADO</v>
      </c>
    </row>
    <row r="869" spans="2:10">
      <c r="B869" s="13" t="s">
        <v>188</v>
      </c>
      <c r="C869" s="19" t="s">
        <v>678</v>
      </c>
      <c r="D869" s="49" t="s">
        <v>677</v>
      </c>
      <c r="E869" s="11">
        <v>43580</v>
      </c>
      <c r="F869" s="32">
        <v>54450</v>
      </c>
      <c r="G869" s="11">
        <v>43580</v>
      </c>
      <c r="H869" s="90">
        <f t="shared" si="60"/>
        <v>0</v>
      </c>
      <c r="I869" s="90">
        <f t="shared" si="61"/>
        <v>54450</v>
      </c>
      <c r="J869" s="118" t="str">
        <f t="shared" si="62"/>
        <v>ATRASADO</v>
      </c>
    </row>
    <row r="870" spans="2:10">
      <c r="B870" s="13" t="s">
        <v>188</v>
      </c>
      <c r="C870" s="19" t="s">
        <v>688</v>
      </c>
      <c r="D870" s="49" t="s">
        <v>686</v>
      </c>
      <c r="E870" s="11">
        <v>43610</v>
      </c>
      <c r="F870" s="32">
        <v>54325</v>
      </c>
      <c r="G870" s="11">
        <v>43610</v>
      </c>
      <c r="H870" s="90">
        <f t="shared" si="60"/>
        <v>0</v>
      </c>
      <c r="I870" s="90">
        <f t="shared" si="61"/>
        <v>54325</v>
      </c>
      <c r="J870" s="118" t="str">
        <f t="shared" si="62"/>
        <v>ATRASADO</v>
      </c>
    </row>
    <row r="871" spans="2:10">
      <c r="B871" s="13" t="s">
        <v>188</v>
      </c>
      <c r="C871" s="19" t="s">
        <v>699</v>
      </c>
      <c r="D871" s="49" t="s">
        <v>697</v>
      </c>
      <c r="E871" s="11">
        <v>43641</v>
      </c>
      <c r="F871" s="32">
        <v>54250</v>
      </c>
      <c r="G871" s="11">
        <v>43641</v>
      </c>
      <c r="H871" s="90">
        <f t="shared" si="60"/>
        <v>0</v>
      </c>
      <c r="I871" s="90">
        <f t="shared" si="61"/>
        <v>54250</v>
      </c>
      <c r="J871" s="118" t="str">
        <f t="shared" si="62"/>
        <v>ATRASADO</v>
      </c>
    </row>
    <row r="872" spans="2:10">
      <c r="B872" s="13" t="s">
        <v>188</v>
      </c>
      <c r="C872" s="19" t="s">
        <v>712</v>
      </c>
      <c r="D872" s="49" t="s">
        <v>707</v>
      </c>
      <c r="E872" s="11">
        <v>43677</v>
      </c>
      <c r="F872" s="32">
        <v>54700</v>
      </c>
      <c r="G872" s="11">
        <v>43671</v>
      </c>
      <c r="H872" s="90">
        <f t="shared" si="60"/>
        <v>0</v>
      </c>
      <c r="I872" s="90">
        <f t="shared" si="61"/>
        <v>54700</v>
      </c>
      <c r="J872" s="118" t="str">
        <f t="shared" si="62"/>
        <v>ATRASADO</v>
      </c>
    </row>
    <row r="873" spans="2:10">
      <c r="B873" s="13" t="s">
        <v>188</v>
      </c>
      <c r="C873" s="19" t="s">
        <v>713</v>
      </c>
      <c r="D873" s="49" t="s">
        <v>711</v>
      </c>
      <c r="E873" s="11">
        <v>43702</v>
      </c>
      <c r="F873" s="32">
        <v>55250</v>
      </c>
      <c r="G873" s="11">
        <v>43708</v>
      </c>
      <c r="H873" s="90">
        <f t="shared" si="60"/>
        <v>0</v>
      </c>
      <c r="I873" s="90">
        <f t="shared" si="61"/>
        <v>55250</v>
      </c>
      <c r="J873" s="118" t="str">
        <f t="shared" si="62"/>
        <v>ATRASADO</v>
      </c>
    </row>
    <row r="874" spans="2:10">
      <c r="B874" s="13" t="s">
        <v>188</v>
      </c>
      <c r="C874" s="19" t="s">
        <v>720</v>
      </c>
      <c r="D874" s="49" t="s">
        <v>719</v>
      </c>
      <c r="E874" s="11">
        <v>43733</v>
      </c>
      <c r="F874" s="32">
        <v>55525</v>
      </c>
      <c r="G874" s="11">
        <v>43708</v>
      </c>
      <c r="H874" s="90">
        <f t="shared" si="60"/>
        <v>0</v>
      </c>
      <c r="I874" s="90">
        <f t="shared" si="61"/>
        <v>55525</v>
      </c>
      <c r="J874" s="118" t="str">
        <f t="shared" si="62"/>
        <v>ATRASADO</v>
      </c>
    </row>
    <row r="875" spans="2:10">
      <c r="B875" s="13" t="s">
        <v>188</v>
      </c>
      <c r="C875" s="19" t="s">
        <v>734</v>
      </c>
      <c r="D875" s="49" t="s">
        <v>726</v>
      </c>
      <c r="E875" s="11">
        <v>43763</v>
      </c>
      <c r="F875" s="32">
        <v>50625</v>
      </c>
      <c r="G875" s="11">
        <v>43763</v>
      </c>
      <c r="H875" s="90">
        <f t="shared" si="60"/>
        <v>0</v>
      </c>
      <c r="I875" s="90">
        <f t="shared" si="61"/>
        <v>50625</v>
      </c>
      <c r="J875" s="118" t="str">
        <f t="shared" si="62"/>
        <v>ATRASADO</v>
      </c>
    </row>
    <row r="876" spans="2:10">
      <c r="B876" s="13" t="s">
        <v>188</v>
      </c>
      <c r="C876" s="19" t="s">
        <v>735</v>
      </c>
      <c r="D876" s="49" t="s">
        <v>732</v>
      </c>
      <c r="E876" s="11">
        <v>43794</v>
      </c>
      <c r="F876" s="32">
        <v>52625</v>
      </c>
      <c r="G876" s="11">
        <v>43794</v>
      </c>
      <c r="H876" s="90">
        <f t="shared" si="60"/>
        <v>0</v>
      </c>
      <c r="I876" s="90">
        <f t="shared" si="61"/>
        <v>52625</v>
      </c>
      <c r="J876" s="118" t="str">
        <f t="shared" si="62"/>
        <v>ATRASADO</v>
      </c>
    </row>
    <row r="877" spans="2:10">
      <c r="B877" s="13" t="s">
        <v>188</v>
      </c>
      <c r="C877" s="19" t="s">
        <v>739</v>
      </c>
      <c r="D877" s="49" t="s">
        <v>738</v>
      </c>
      <c r="E877" s="11">
        <v>43824</v>
      </c>
      <c r="F877" s="32">
        <v>54150</v>
      </c>
      <c r="G877" s="11">
        <v>43824</v>
      </c>
      <c r="H877" s="90">
        <f t="shared" si="60"/>
        <v>0</v>
      </c>
      <c r="I877" s="90">
        <f t="shared" si="61"/>
        <v>54150</v>
      </c>
      <c r="J877" s="118" t="str">
        <f t="shared" si="62"/>
        <v>ATRASADO</v>
      </c>
    </row>
    <row r="878" spans="2:10">
      <c r="B878" s="13" t="s">
        <v>188</v>
      </c>
      <c r="C878" s="19" t="s">
        <v>750</v>
      </c>
      <c r="D878" s="49" t="s">
        <v>748</v>
      </c>
      <c r="E878" s="11">
        <v>43855</v>
      </c>
      <c r="F878" s="32">
        <v>54675</v>
      </c>
      <c r="G878" s="11">
        <v>43855</v>
      </c>
      <c r="H878" s="90">
        <f t="shared" si="60"/>
        <v>0</v>
      </c>
      <c r="I878" s="90">
        <f t="shared" si="61"/>
        <v>54675</v>
      </c>
      <c r="J878" s="118" t="str">
        <f t="shared" si="62"/>
        <v>ATRASADO</v>
      </c>
    </row>
    <row r="879" spans="2:10">
      <c r="B879" s="13" t="s">
        <v>188</v>
      </c>
      <c r="C879" s="19" t="s">
        <v>754</v>
      </c>
      <c r="D879" s="49" t="s">
        <v>753</v>
      </c>
      <c r="E879" s="11">
        <v>43886</v>
      </c>
      <c r="F879" s="32">
        <v>54275</v>
      </c>
      <c r="G879" s="11">
        <v>43886</v>
      </c>
      <c r="H879" s="90">
        <f t="shared" si="60"/>
        <v>0</v>
      </c>
      <c r="I879" s="90">
        <f t="shared" si="61"/>
        <v>54275</v>
      </c>
      <c r="J879" s="118" t="str">
        <f t="shared" si="62"/>
        <v>ATRASADO</v>
      </c>
    </row>
    <row r="880" spans="2:10">
      <c r="B880" s="13" t="s">
        <v>188</v>
      </c>
      <c r="C880" s="19" t="s">
        <v>853</v>
      </c>
      <c r="D880" s="49" t="s">
        <v>850</v>
      </c>
      <c r="E880" s="11" t="s">
        <v>852</v>
      </c>
      <c r="F880" s="32">
        <v>54075</v>
      </c>
      <c r="G880" s="11" t="s">
        <v>852</v>
      </c>
      <c r="H880" s="90">
        <f t="shared" si="60"/>
        <v>0</v>
      </c>
      <c r="I880" s="90">
        <f t="shared" si="61"/>
        <v>54075</v>
      </c>
      <c r="J880" s="118" t="str">
        <f t="shared" si="62"/>
        <v>ATRASADO</v>
      </c>
    </row>
    <row r="881" spans="2:10">
      <c r="B881" s="13" t="s">
        <v>188</v>
      </c>
      <c r="C881" s="19" t="s">
        <v>859</v>
      </c>
      <c r="D881" s="49" t="s">
        <v>858</v>
      </c>
      <c r="E881" s="11" t="s">
        <v>857</v>
      </c>
      <c r="F881" s="32">
        <v>54725</v>
      </c>
      <c r="G881" s="11" t="s">
        <v>857</v>
      </c>
      <c r="H881" s="90">
        <f t="shared" si="60"/>
        <v>0</v>
      </c>
      <c r="I881" s="90">
        <f t="shared" si="61"/>
        <v>54725</v>
      </c>
      <c r="J881" s="118" t="str">
        <f t="shared" si="62"/>
        <v>ATRASADO</v>
      </c>
    </row>
    <row r="882" spans="2:10">
      <c r="B882" s="13" t="s">
        <v>188</v>
      </c>
      <c r="C882" s="19" t="s">
        <v>863</v>
      </c>
      <c r="D882" s="49" t="s">
        <v>862</v>
      </c>
      <c r="E882" s="11">
        <v>43976</v>
      </c>
      <c r="F882" s="32">
        <v>54825</v>
      </c>
      <c r="G882" s="11">
        <v>43976</v>
      </c>
      <c r="H882" s="90">
        <f t="shared" si="60"/>
        <v>0</v>
      </c>
      <c r="I882" s="90">
        <f t="shared" si="61"/>
        <v>54825</v>
      </c>
      <c r="J882" s="118" t="str">
        <f t="shared" si="62"/>
        <v>ATRASADO</v>
      </c>
    </row>
    <row r="883" spans="2:10">
      <c r="B883" s="13" t="s">
        <v>188</v>
      </c>
      <c r="C883" s="19" t="s">
        <v>866</v>
      </c>
      <c r="D883" s="49" t="s">
        <v>864</v>
      </c>
      <c r="E883" s="11">
        <v>44007</v>
      </c>
      <c r="F883" s="32">
        <v>54950</v>
      </c>
      <c r="G883" s="11">
        <v>44007</v>
      </c>
      <c r="H883" s="90">
        <f t="shared" si="60"/>
        <v>0</v>
      </c>
      <c r="I883" s="90">
        <f t="shared" si="61"/>
        <v>54950</v>
      </c>
      <c r="J883" s="118" t="str">
        <f t="shared" si="62"/>
        <v>ATRASADO</v>
      </c>
    </row>
    <row r="884" spans="2:10">
      <c r="B884" s="13" t="s">
        <v>188</v>
      </c>
      <c r="C884" s="19" t="s">
        <v>875</v>
      </c>
      <c r="D884" s="49" t="s">
        <v>869</v>
      </c>
      <c r="E884" s="11">
        <v>44037</v>
      </c>
      <c r="F884" s="32">
        <v>43975</v>
      </c>
      <c r="G884" s="11">
        <v>44037</v>
      </c>
      <c r="H884" s="90">
        <f t="shared" si="60"/>
        <v>0</v>
      </c>
      <c r="I884" s="90">
        <f t="shared" si="61"/>
        <v>43975</v>
      </c>
      <c r="J884" s="118" t="str">
        <f t="shared" si="62"/>
        <v>ATRASADO</v>
      </c>
    </row>
    <row r="885" spans="2:10">
      <c r="B885" s="13" t="s">
        <v>188</v>
      </c>
      <c r="C885" s="19" t="s">
        <v>947</v>
      </c>
      <c r="D885" s="49" t="s">
        <v>944</v>
      </c>
      <c r="E885" s="11" t="s">
        <v>946</v>
      </c>
      <c r="F885" s="32">
        <v>56875</v>
      </c>
      <c r="G885" s="11" t="s">
        <v>946</v>
      </c>
      <c r="H885" s="90">
        <f t="shared" si="60"/>
        <v>0</v>
      </c>
      <c r="I885" s="90">
        <f t="shared" si="61"/>
        <v>56875</v>
      </c>
      <c r="J885" s="118" t="str">
        <f t="shared" si="62"/>
        <v>ATRASADO</v>
      </c>
    </row>
    <row r="886" spans="2:10">
      <c r="B886" s="13" t="s">
        <v>188</v>
      </c>
      <c r="C886" s="19" t="s">
        <v>977</v>
      </c>
      <c r="D886" s="49" t="s">
        <v>974</v>
      </c>
      <c r="E886" s="11" t="s">
        <v>976</v>
      </c>
      <c r="F886" s="32">
        <v>57000</v>
      </c>
      <c r="G886" s="11" t="s">
        <v>978</v>
      </c>
      <c r="H886" s="90">
        <f t="shared" si="60"/>
        <v>0</v>
      </c>
      <c r="I886" s="90">
        <f t="shared" si="61"/>
        <v>57000</v>
      </c>
      <c r="J886" s="118" t="str">
        <f t="shared" si="62"/>
        <v>ATRASADO</v>
      </c>
    </row>
    <row r="887" spans="2:10">
      <c r="B887" s="13" t="s">
        <v>188</v>
      </c>
      <c r="C887" s="19" t="s">
        <v>1046</v>
      </c>
      <c r="D887" s="49" t="s">
        <v>1042</v>
      </c>
      <c r="E887" s="11" t="s">
        <v>1035</v>
      </c>
      <c r="F887" s="32">
        <v>57600</v>
      </c>
      <c r="G887" s="11" t="s">
        <v>1035</v>
      </c>
      <c r="H887" s="90">
        <f t="shared" si="60"/>
        <v>0</v>
      </c>
      <c r="I887" s="90">
        <f t="shared" si="61"/>
        <v>57600</v>
      </c>
      <c r="J887" s="118" t="str">
        <f t="shared" si="62"/>
        <v>ATRASADO</v>
      </c>
    </row>
    <row r="888" spans="2:10">
      <c r="B888" s="13" t="s">
        <v>188</v>
      </c>
      <c r="C888" s="19" t="s">
        <v>436</v>
      </c>
      <c r="D888" s="49" t="s">
        <v>435</v>
      </c>
      <c r="E888" s="11">
        <v>41137</v>
      </c>
      <c r="F888" s="32">
        <v>2347907.36</v>
      </c>
      <c r="G888" s="11">
        <v>41137</v>
      </c>
      <c r="H888" s="90">
        <f t="shared" si="60"/>
        <v>0</v>
      </c>
      <c r="I888" s="90">
        <f t="shared" si="61"/>
        <v>2347907.36</v>
      </c>
      <c r="J888" s="118" t="str">
        <f t="shared" si="62"/>
        <v>ATRASADO</v>
      </c>
    </row>
    <row r="889" spans="2:10">
      <c r="B889" s="13"/>
      <c r="C889" s="19"/>
      <c r="D889" s="49"/>
      <c r="E889" s="10"/>
      <c r="F889" s="32"/>
      <c r="G889" s="10"/>
    </row>
    <row r="890" spans="2:10">
      <c r="B890" s="98" t="s">
        <v>897</v>
      </c>
      <c r="C890" s="19" t="s">
        <v>102</v>
      </c>
      <c r="D890" s="49" t="s">
        <v>971</v>
      </c>
      <c r="E890" s="10">
        <v>44235</v>
      </c>
      <c r="F890" s="32">
        <v>35400</v>
      </c>
      <c r="G890" s="10">
        <v>44235</v>
      </c>
      <c r="H890" s="90">
        <f>IF(F890&gt;0,0,"")</f>
        <v>0</v>
      </c>
      <c r="I890" s="90">
        <f>IF(H890=0,F890,"")</f>
        <v>35400</v>
      </c>
      <c r="J890" s="118" t="str">
        <f>IF(I890&gt;0,"ATRASADO","")</f>
        <v>ATRASADO</v>
      </c>
    </row>
    <row r="891" spans="2:10">
      <c r="B891" s="98"/>
      <c r="C891" s="19"/>
      <c r="D891" s="49"/>
      <c r="E891" s="10"/>
      <c r="F891" s="32"/>
      <c r="G891" s="10"/>
    </row>
    <row r="892" spans="2:10">
      <c r="B892" s="98" t="s">
        <v>1037</v>
      </c>
      <c r="C892" s="19" t="s">
        <v>962</v>
      </c>
      <c r="D892" s="49" t="s">
        <v>981</v>
      </c>
      <c r="E892" s="10" t="s">
        <v>1035</v>
      </c>
      <c r="F892" s="32">
        <v>130583.52</v>
      </c>
      <c r="G892" s="10" t="s">
        <v>1035</v>
      </c>
      <c r="H892" s="90">
        <f>IF(F892&gt;0,0,"")</f>
        <v>0</v>
      </c>
      <c r="I892" s="90">
        <f>IF(H892=0,F892,"")</f>
        <v>130583.52</v>
      </c>
      <c r="J892" s="118" t="str">
        <f>IF(I892&gt;0,"ATRASADO","")</f>
        <v>ATRASADO</v>
      </c>
    </row>
    <row r="893" spans="2:10">
      <c r="B893" s="98" t="s">
        <v>1037</v>
      </c>
      <c r="C893" s="19" t="s">
        <v>1039</v>
      </c>
      <c r="D893" s="49" t="s">
        <v>982</v>
      </c>
      <c r="E893" s="10" t="s">
        <v>1038</v>
      </c>
      <c r="F893" s="32">
        <v>61182.53</v>
      </c>
      <c r="G893" s="10" t="s">
        <v>1038</v>
      </c>
      <c r="H893" s="90">
        <f>IF(F893&gt;0,0,"")</f>
        <v>0</v>
      </c>
      <c r="I893" s="90">
        <f>IF(H893=0,F893,"")</f>
        <v>61182.53</v>
      </c>
      <c r="J893" s="118" t="str">
        <f>IF(I893&gt;0,"ATRASADO","")</f>
        <v>ATRASADO</v>
      </c>
    </row>
    <row r="894" spans="2:10">
      <c r="B894" s="13"/>
      <c r="C894" s="19"/>
      <c r="D894" s="49"/>
      <c r="E894" s="10"/>
      <c r="F894" s="32"/>
      <c r="G894" s="10"/>
    </row>
    <row r="895" spans="2:10">
      <c r="B895" s="13" t="s">
        <v>15</v>
      </c>
      <c r="C895" s="19" t="s">
        <v>16</v>
      </c>
      <c r="D895" s="12">
        <v>1500000002</v>
      </c>
      <c r="E895" s="10">
        <v>41374</v>
      </c>
      <c r="F895" s="32">
        <v>251207.79</v>
      </c>
      <c r="G895" s="10">
        <v>41374</v>
      </c>
      <c r="H895" s="90">
        <f>IF(F895&gt;0,0,"")</f>
        <v>0</v>
      </c>
      <c r="I895" s="90">
        <f>IF(H895=0,F895,"")</f>
        <v>251207.79</v>
      </c>
      <c r="J895" s="118" t="str">
        <f>IF(I895&gt;0,"ATRASADO","")</f>
        <v>ATRASADO</v>
      </c>
    </row>
    <row r="896" spans="2:10">
      <c r="B896" s="13"/>
      <c r="C896" s="19"/>
      <c r="D896" s="17"/>
      <c r="E896" s="10"/>
      <c r="F896" s="32"/>
      <c r="G896" s="10"/>
    </row>
    <row r="897" spans="2:10">
      <c r="B897" s="13" t="s">
        <v>983</v>
      </c>
      <c r="C897" s="19" t="s">
        <v>570</v>
      </c>
      <c r="D897" s="49" t="s">
        <v>950</v>
      </c>
      <c r="E897" s="10">
        <v>44204</v>
      </c>
      <c r="F897" s="32">
        <v>855000</v>
      </c>
      <c r="G897" s="10">
        <v>44204</v>
      </c>
      <c r="H897" s="90">
        <f>IF(F897&gt;0,0,"")</f>
        <v>0</v>
      </c>
      <c r="I897" s="90">
        <f>IF(H897=0,F897,"")</f>
        <v>855000</v>
      </c>
      <c r="J897" s="118" t="str">
        <f>IF(I897&gt;0,"ATRASADO","")</f>
        <v>ATRASADO</v>
      </c>
    </row>
    <row r="898" spans="2:10">
      <c r="B898" s="13" t="s">
        <v>983</v>
      </c>
      <c r="C898" s="19" t="s">
        <v>570</v>
      </c>
      <c r="D898" s="49" t="s">
        <v>951</v>
      </c>
      <c r="E898" s="10">
        <v>44235</v>
      </c>
      <c r="F898" s="32">
        <v>855000</v>
      </c>
      <c r="G898" s="10">
        <v>44235</v>
      </c>
      <c r="H898" s="90">
        <f>IF(F898&gt;0,0,"")</f>
        <v>0</v>
      </c>
      <c r="I898" s="90">
        <f>IF(H898=0,F898,"")</f>
        <v>855000</v>
      </c>
      <c r="J898" s="118" t="str">
        <f>IF(I898&gt;0,"ATRASADO","")</f>
        <v>ATRASADO</v>
      </c>
    </row>
    <row r="899" spans="2:10">
      <c r="B899" s="13" t="s">
        <v>983</v>
      </c>
      <c r="C899" s="19" t="s">
        <v>570</v>
      </c>
      <c r="D899" s="49" t="s">
        <v>952</v>
      </c>
      <c r="E899" s="10">
        <v>44294</v>
      </c>
      <c r="F899" s="32">
        <v>855000</v>
      </c>
      <c r="G899" s="10">
        <v>44294</v>
      </c>
      <c r="H899" s="90">
        <f>IF(F899&gt;0,0,"")</f>
        <v>0</v>
      </c>
      <c r="I899" s="90">
        <f>IF(H899=0,F899,"")</f>
        <v>855000</v>
      </c>
      <c r="J899" s="118" t="str">
        <f>IF(I899&gt;0,"ATRASADO","")</f>
        <v>ATRASADO</v>
      </c>
    </row>
    <row r="900" spans="2:10">
      <c r="B900" s="13"/>
      <c r="C900" s="19"/>
      <c r="D900" s="17"/>
      <c r="E900" s="10"/>
      <c r="F900" s="32"/>
      <c r="G900" s="10"/>
    </row>
    <row r="901" spans="2:10">
      <c r="B901" s="13" t="s">
        <v>17</v>
      </c>
      <c r="C901" s="19" t="s">
        <v>8</v>
      </c>
      <c r="D901" s="12">
        <v>1500000001</v>
      </c>
      <c r="E901" s="10">
        <v>41676</v>
      </c>
      <c r="F901" s="32">
        <v>1291584</v>
      </c>
      <c r="G901" s="10">
        <v>41676</v>
      </c>
      <c r="H901" s="90">
        <f>IF(F901&gt;0,0,"")</f>
        <v>0</v>
      </c>
      <c r="I901" s="90">
        <f>IF(H901=0,F901,"")</f>
        <v>1291584</v>
      </c>
      <c r="J901" s="118" t="str">
        <f>IF(I901&gt;0,"ATRASADO","")</f>
        <v>ATRASADO</v>
      </c>
    </row>
    <row r="902" spans="2:10">
      <c r="B902" s="13"/>
      <c r="C902" s="19"/>
      <c r="D902" s="12"/>
      <c r="E902" s="10"/>
      <c r="F902" s="32"/>
      <c r="G902" s="10"/>
    </row>
    <row r="903" spans="2:10">
      <c r="B903" s="13" t="s">
        <v>199</v>
      </c>
      <c r="C903" s="19" t="s">
        <v>200</v>
      </c>
      <c r="D903" s="28">
        <v>1502065894</v>
      </c>
      <c r="E903" s="29">
        <v>41390</v>
      </c>
      <c r="F903" s="32">
        <v>9797.69</v>
      </c>
      <c r="G903" s="30">
        <v>41390</v>
      </c>
      <c r="H903" s="90">
        <f>IF(F903&gt;0,0,"")</f>
        <v>0</v>
      </c>
      <c r="I903" s="90">
        <f>IF(H903=0,F903,"")</f>
        <v>9797.69</v>
      </c>
      <c r="J903" s="118" t="str">
        <f>IF(I903&gt;0,"ATRASADO","")</f>
        <v>ATRASADO</v>
      </c>
    </row>
    <row r="904" spans="2:10">
      <c r="B904" s="13" t="s">
        <v>199</v>
      </c>
      <c r="C904" s="19" t="s">
        <v>200</v>
      </c>
      <c r="D904" s="28">
        <v>1502065895</v>
      </c>
      <c r="E904" s="29">
        <v>41390</v>
      </c>
      <c r="F904" s="32">
        <v>10089</v>
      </c>
      <c r="G904" s="30">
        <v>41390</v>
      </c>
      <c r="H904" s="90">
        <f>IF(F904&gt;0,0,"")</f>
        <v>0</v>
      </c>
      <c r="I904" s="90">
        <f>IF(H904=0,F904,"")</f>
        <v>10089</v>
      </c>
      <c r="J904" s="118" t="str">
        <f>IF(I904&gt;0,"ATRASADO","")</f>
        <v>ATRASADO</v>
      </c>
    </row>
    <row r="905" spans="2:10">
      <c r="B905" s="13" t="s">
        <v>199</v>
      </c>
      <c r="C905" s="19" t="s">
        <v>200</v>
      </c>
      <c r="D905" s="28">
        <v>1502065896</v>
      </c>
      <c r="E905" s="29">
        <v>41390</v>
      </c>
      <c r="F905" s="32">
        <v>10325</v>
      </c>
      <c r="G905" s="30">
        <v>41390</v>
      </c>
      <c r="H905" s="90">
        <f>IF(F905&gt;0,0,"")</f>
        <v>0</v>
      </c>
      <c r="I905" s="90">
        <f>IF(H905=0,F905,"")</f>
        <v>10325</v>
      </c>
      <c r="J905" s="118" t="str">
        <f>IF(I905&gt;0,"ATRASADO","")</f>
        <v>ATRASADO</v>
      </c>
    </row>
    <row r="906" spans="2:10">
      <c r="B906" s="13" t="s">
        <v>199</v>
      </c>
      <c r="C906" s="19" t="s">
        <v>200</v>
      </c>
      <c r="D906" s="28">
        <v>1502065897</v>
      </c>
      <c r="E906" s="29">
        <v>41390</v>
      </c>
      <c r="F906" s="32">
        <v>9571</v>
      </c>
      <c r="G906" s="30">
        <v>41390</v>
      </c>
      <c r="H906" s="90">
        <f>IF(F906&gt;0,0,"")</f>
        <v>0</v>
      </c>
      <c r="I906" s="90">
        <f>IF(H906=0,F906,"")</f>
        <v>9571</v>
      </c>
      <c r="J906" s="118" t="str">
        <f>IF(I906&gt;0,"ATRASADO","")</f>
        <v>ATRASADO</v>
      </c>
    </row>
    <row r="907" spans="2:10">
      <c r="B907" s="13"/>
      <c r="C907" s="19"/>
      <c r="D907" s="28"/>
      <c r="E907" s="29"/>
      <c r="F907" s="32"/>
      <c r="G907" s="30"/>
    </row>
    <row r="908" spans="2:10">
      <c r="B908" s="13" t="s">
        <v>501</v>
      </c>
      <c r="C908" s="22" t="s">
        <v>120</v>
      </c>
      <c r="D908" s="28" t="s">
        <v>500</v>
      </c>
      <c r="E908" s="29">
        <v>42541</v>
      </c>
      <c r="F908" s="32">
        <v>726880</v>
      </c>
      <c r="G908" s="30">
        <v>42541</v>
      </c>
      <c r="H908" s="90">
        <f>IF(F908&gt;0,0,"")</f>
        <v>0</v>
      </c>
      <c r="I908" s="90">
        <f>IF(H908=0,F908,"")</f>
        <v>726880</v>
      </c>
      <c r="J908" s="118" t="str">
        <f>IF(I908&gt;0,"ATRASADO","")</f>
        <v>ATRASADO</v>
      </c>
    </row>
    <row r="909" spans="2:10">
      <c r="B909" s="13"/>
      <c r="C909" s="19"/>
      <c r="D909" s="28"/>
      <c r="E909" s="29"/>
      <c r="F909" s="32"/>
      <c r="G909" s="30"/>
    </row>
    <row r="910" spans="2:10">
      <c r="B910" s="13" t="s">
        <v>203</v>
      </c>
      <c r="C910" s="19" t="s">
        <v>204</v>
      </c>
      <c r="D910" s="16" t="s">
        <v>756</v>
      </c>
      <c r="E910" s="82">
        <v>41054</v>
      </c>
      <c r="F910" s="32">
        <f>2868633.19+41561.54</f>
        <v>2910194.73</v>
      </c>
      <c r="G910" s="82">
        <v>41054</v>
      </c>
      <c r="H910" s="90">
        <f t="shared" ref="H910:H973" si="63">IF(F910&gt;0,0,"")</f>
        <v>0</v>
      </c>
      <c r="I910" s="90">
        <f t="shared" ref="I910:I973" si="64">IF(H910=0,F910,"")</f>
        <v>2910194.73</v>
      </c>
      <c r="J910" s="118" t="str">
        <f t="shared" ref="J910:J973" si="65">IF(I910&gt;0,"ATRASADO","")</f>
        <v>ATRASADO</v>
      </c>
    </row>
    <row r="911" spans="2:10">
      <c r="B911" s="13" t="s">
        <v>203</v>
      </c>
      <c r="C911" s="19" t="s">
        <v>204</v>
      </c>
      <c r="D911" s="16" t="s">
        <v>757</v>
      </c>
      <c r="E911" s="82">
        <v>41085</v>
      </c>
      <c r="F911" s="32">
        <v>2687502.79</v>
      </c>
      <c r="G911" s="82">
        <v>41085</v>
      </c>
      <c r="H911" s="90">
        <f t="shared" si="63"/>
        <v>0</v>
      </c>
      <c r="I911" s="90">
        <f t="shared" si="64"/>
        <v>2687502.79</v>
      </c>
      <c r="J911" s="118" t="str">
        <f t="shared" si="65"/>
        <v>ATRASADO</v>
      </c>
    </row>
    <row r="912" spans="2:10">
      <c r="B912" s="13" t="s">
        <v>203</v>
      </c>
      <c r="C912" s="19" t="s">
        <v>204</v>
      </c>
      <c r="D912" s="16" t="s">
        <v>758</v>
      </c>
      <c r="E912" s="82">
        <v>41115</v>
      </c>
      <c r="F912" s="32">
        <v>2691884.6</v>
      </c>
      <c r="G912" s="82">
        <v>41115</v>
      </c>
      <c r="H912" s="90">
        <f t="shared" si="63"/>
        <v>0</v>
      </c>
      <c r="I912" s="90">
        <f t="shared" si="64"/>
        <v>2691884.6</v>
      </c>
      <c r="J912" s="118" t="str">
        <f t="shared" si="65"/>
        <v>ATRASADO</v>
      </c>
    </row>
    <row r="913" spans="2:10">
      <c r="B913" s="13" t="s">
        <v>203</v>
      </c>
      <c r="C913" s="19" t="s">
        <v>204</v>
      </c>
      <c r="D913" s="16" t="s">
        <v>759</v>
      </c>
      <c r="E913" s="82">
        <v>41146</v>
      </c>
      <c r="F913" s="32">
        <v>2500712.7599999998</v>
      </c>
      <c r="G913" s="82">
        <v>41146</v>
      </c>
      <c r="H913" s="90">
        <f t="shared" si="63"/>
        <v>0</v>
      </c>
      <c r="I913" s="90">
        <f t="shared" si="64"/>
        <v>2500712.7599999998</v>
      </c>
      <c r="J913" s="118" t="str">
        <f t="shared" si="65"/>
        <v>ATRASADO</v>
      </c>
    </row>
    <row r="914" spans="2:10">
      <c r="B914" s="13" t="s">
        <v>203</v>
      </c>
      <c r="C914" s="19" t="s">
        <v>204</v>
      </c>
      <c r="D914" s="16" t="s">
        <v>878</v>
      </c>
      <c r="E914" s="82">
        <v>41177</v>
      </c>
      <c r="F914" s="32">
        <v>3162359.25</v>
      </c>
      <c r="G914" s="82">
        <v>41177</v>
      </c>
      <c r="H914" s="90">
        <f t="shared" si="63"/>
        <v>0</v>
      </c>
      <c r="I914" s="90">
        <f t="shared" si="64"/>
        <v>3162359.25</v>
      </c>
      <c r="J914" s="118" t="str">
        <f t="shared" si="65"/>
        <v>ATRASADO</v>
      </c>
    </row>
    <row r="915" spans="2:10">
      <c r="B915" s="13" t="s">
        <v>203</v>
      </c>
      <c r="C915" s="19" t="s">
        <v>204</v>
      </c>
      <c r="D915" s="16" t="s">
        <v>760</v>
      </c>
      <c r="E915" s="82">
        <v>41207</v>
      </c>
      <c r="F915" s="32">
        <v>3326669.34</v>
      </c>
      <c r="G915" s="82">
        <v>41207</v>
      </c>
      <c r="H915" s="90">
        <f t="shared" si="63"/>
        <v>0</v>
      </c>
      <c r="I915" s="90">
        <f t="shared" si="64"/>
        <v>3326669.34</v>
      </c>
      <c r="J915" s="118" t="str">
        <f t="shared" si="65"/>
        <v>ATRASADO</v>
      </c>
    </row>
    <row r="916" spans="2:10">
      <c r="B916" s="13" t="s">
        <v>203</v>
      </c>
      <c r="C916" s="19" t="s">
        <v>204</v>
      </c>
      <c r="D916" s="16" t="s">
        <v>761</v>
      </c>
      <c r="E916" s="82">
        <v>41238</v>
      </c>
      <c r="F916" s="32">
        <v>2552811.5599999996</v>
      </c>
      <c r="G916" s="82">
        <v>41238</v>
      </c>
      <c r="H916" s="90">
        <f t="shared" si="63"/>
        <v>0</v>
      </c>
      <c r="I916" s="90">
        <f t="shared" si="64"/>
        <v>2552811.5599999996</v>
      </c>
      <c r="J916" s="118" t="str">
        <f t="shared" si="65"/>
        <v>ATRASADO</v>
      </c>
    </row>
    <row r="917" spans="2:10">
      <c r="B917" s="13" t="s">
        <v>203</v>
      </c>
      <c r="C917" s="19" t="s">
        <v>204</v>
      </c>
      <c r="D917" s="16" t="s">
        <v>762</v>
      </c>
      <c r="E917" s="82">
        <v>41268</v>
      </c>
      <c r="F917" s="32">
        <v>3730933.1399999997</v>
      </c>
      <c r="G917" s="82">
        <v>41268</v>
      </c>
      <c r="H917" s="90">
        <f t="shared" si="63"/>
        <v>0</v>
      </c>
      <c r="I917" s="90">
        <f t="shared" si="64"/>
        <v>3730933.1399999997</v>
      </c>
      <c r="J917" s="118" t="str">
        <f t="shared" si="65"/>
        <v>ATRASADO</v>
      </c>
    </row>
    <row r="918" spans="2:10">
      <c r="B918" s="13" t="s">
        <v>203</v>
      </c>
      <c r="C918" s="19" t="s">
        <v>204</v>
      </c>
      <c r="D918" s="16" t="s">
        <v>763</v>
      </c>
      <c r="E918" s="82">
        <v>41299</v>
      </c>
      <c r="F918" s="32">
        <v>3038881.67</v>
      </c>
      <c r="G918" s="82">
        <v>41299</v>
      </c>
      <c r="H918" s="90">
        <f t="shared" si="63"/>
        <v>0</v>
      </c>
      <c r="I918" s="90">
        <f t="shared" si="64"/>
        <v>3038881.67</v>
      </c>
      <c r="J918" s="118" t="str">
        <f t="shared" si="65"/>
        <v>ATRASADO</v>
      </c>
    </row>
    <row r="919" spans="2:10">
      <c r="B919" s="13" t="s">
        <v>203</v>
      </c>
      <c r="C919" s="19" t="s">
        <v>204</v>
      </c>
      <c r="D919" s="16" t="s">
        <v>764</v>
      </c>
      <c r="E919" s="82">
        <v>41330</v>
      </c>
      <c r="F919" s="32">
        <v>2836102.1300000004</v>
      </c>
      <c r="G919" s="82">
        <v>41330</v>
      </c>
      <c r="H919" s="90">
        <f t="shared" si="63"/>
        <v>0</v>
      </c>
      <c r="I919" s="90">
        <f t="shared" si="64"/>
        <v>2836102.1300000004</v>
      </c>
      <c r="J919" s="118" t="str">
        <f t="shared" si="65"/>
        <v>ATRASADO</v>
      </c>
    </row>
    <row r="920" spans="2:10">
      <c r="B920" s="13" t="s">
        <v>203</v>
      </c>
      <c r="C920" s="19" t="s">
        <v>204</v>
      </c>
      <c r="D920" s="16" t="s">
        <v>765</v>
      </c>
      <c r="E920" s="82">
        <v>41358</v>
      </c>
      <c r="F920" s="32">
        <v>2842645.74</v>
      </c>
      <c r="G920" s="82">
        <v>41358</v>
      </c>
      <c r="H920" s="90">
        <f t="shared" si="63"/>
        <v>0</v>
      </c>
      <c r="I920" s="90">
        <f t="shared" si="64"/>
        <v>2842645.74</v>
      </c>
      <c r="J920" s="118" t="str">
        <f t="shared" si="65"/>
        <v>ATRASADO</v>
      </c>
    </row>
    <row r="921" spans="2:10">
      <c r="B921" s="13" t="s">
        <v>203</v>
      </c>
      <c r="C921" s="19" t="s">
        <v>204</v>
      </c>
      <c r="D921" s="16" t="s">
        <v>766</v>
      </c>
      <c r="E921" s="82">
        <v>41389</v>
      </c>
      <c r="F921" s="32">
        <v>2843453.1799999997</v>
      </c>
      <c r="G921" s="82">
        <v>41389</v>
      </c>
      <c r="H921" s="90">
        <f t="shared" si="63"/>
        <v>0</v>
      </c>
      <c r="I921" s="90">
        <f t="shared" si="64"/>
        <v>2843453.1799999997</v>
      </c>
      <c r="J921" s="118" t="str">
        <f t="shared" si="65"/>
        <v>ATRASADO</v>
      </c>
    </row>
    <row r="922" spans="2:10">
      <c r="B922" s="13" t="s">
        <v>203</v>
      </c>
      <c r="C922" s="19" t="s">
        <v>204</v>
      </c>
      <c r="D922" s="16" t="s">
        <v>767</v>
      </c>
      <c r="E922" s="82">
        <v>41419</v>
      </c>
      <c r="F922" s="32">
        <v>2820134.8</v>
      </c>
      <c r="G922" s="82">
        <v>41419</v>
      </c>
      <c r="H922" s="90">
        <f t="shared" si="63"/>
        <v>0</v>
      </c>
      <c r="I922" s="90">
        <f t="shared" si="64"/>
        <v>2820134.8</v>
      </c>
      <c r="J922" s="118" t="str">
        <f t="shared" si="65"/>
        <v>ATRASADO</v>
      </c>
    </row>
    <row r="923" spans="2:10">
      <c r="B923" s="13" t="s">
        <v>203</v>
      </c>
      <c r="C923" s="19" t="s">
        <v>204</v>
      </c>
      <c r="D923" s="16" t="s">
        <v>768</v>
      </c>
      <c r="E923" s="82">
        <v>41450</v>
      </c>
      <c r="F923" s="32">
        <v>2784151.08</v>
      </c>
      <c r="G923" s="82">
        <v>41450</v>
      </c>
      <c r="H923" s="90">
        <f t="shared" si="63"/>
        <v>0</v>
      </c>
      <c r="I923" s="90">
        <f t="shared" si="64"/>
        <v>2784151.08</v>
      </c>
      <c r="J923" s="118" t="str">
        <f t="shared" si="65"/>
        <v>ATRASADO</v>
      </c>
    </row>
    <row r="924" spans="2:10">
      <c r="B924" s="13" t="s">
        <v>203</v>
      </c>
      <c r="C924" s="19" t="s">
        <v>204</v>
      </c>
      <c r="D924" s="16" t="s">
        <v>769</v>
      </c>
      <c r="E924" s="82">
        <v>41480</v>
      </c>
      <c r="F924" s="32">
        <v>2824919.67</v>
      </c>
      <c r="G924" s="82">
        <v>41480</v>
      </c>
      <c r="H924" s="90">
        <f t="shared" si="63"/>
        <v>0</v>
      </c>
      <c r="I924" s="90">
        <f t="shared" si="64"/>
        <v>2824919.67</v>
      </c>
      <c r="J924" s="118" t="str">
        <f t="shared" si="65"/>
        <v>ATRASADO</v>
      </c>
    </row>
    <row r="925" spans="2:10">
      <c r="B925" s="13" t="s">
        <v>203</v>
      </c>
      <c r="C925" s="19" t="s">
        <v>204</v>
      </c>
      <c r="D925" s="16" t="s">
        <v>770</v>
      </c>
      <c r="E925" s="82">
        <v>41511</v>
      </c>
      <c r="F925" s="32">
        <v>2835324.62</v>
      </c>
      <c r="G925" s="82">
        <v>41511</v>
      </c>
      <c r="H925" s="90">
        <f t="shared" si="63"/>
        <v>0</v>
      </c>
      <c r="I925" s="90">
        <f t="shared" si="64"/>
        <v>2835324.62</v>
      </c>
      <c r="J925" s="118" t="str">
        <f t="shared" si="65"/>
        <v>ATRASADO</v>
      </c>
    </row>
    <row r="926" spans="2:10">
      <c r="B926" s="13" t="s">
        <v>203</v>
      </c>
      <c r="C926" s="19" t="s">
        <v>204</v>
      </c>
      <c r="D926" s="16" t="s">
        <v>771</v>
      </c>
      <c r="E926" s="82">
        <v>41542</v>
      </c>
      <c r="F926" s="32">
        <v>2803226.45</v>
      </c>
      <c r="G926" s="82">
        <v>41542</v>
      </c>
      <c r="H926" s="90">
        <f t="shared" si="63"/>
        <v>0</v>
      </c>
      <c r="I926" s="90">
        <f t="shared" si="64"/>
        <v>2803226.45</v>
      </c>
      <c r="J926" s="118" t="str">
        <f t="shared" si="65"/>
        <v>ATRASADO</v>
      </c>
    </row>
    <row r="927" spans="2:10">
      <c r="B927" s="13" t="s">
        <v>203</v>
      </c>
      <c r="C927" s="19" t="s">
        <v>204</v>
      </c>
      <c r="D927" s="16" t="s">
        <v>772</v>
      </c>
      <c r="E927" s="82">
        <v>41572</v>
      </c>
      <c r="F927" s="32">
        <v>2822560.29</v>
      </c>
      <c r="G927" s="82">
        <v>41572</v>
      </c>
      <c r="H927" s="90">
        <f t="shared" si="63"/>
        <v>0</v>
      </c>
      <c r="I927" s="90">
        <f t="shared" si="64"/>
        <v>2822560.29</v>
      </c>
      <c r="J927" s="118" t="str">
        <f t="shared" si="65"/>
        <v>ATRASADO</v>
      </c>
    </row>
    <row r="928" spans="2:10">
      <c r="B928" s="13" t="s">
        <v>203</v>
      </c>
      <c r="C928" s="19" t="s">
        <v>204</v>
      </c>
      <c r="D928" s="16" t="s">
        <v>773</v>
      </c>
      <c r="E928" s="82">
        <v>41603</v>
      </c>
      <c r="F928" s="32">
        <v>2851741.11</v>
      </c>
      <c r="G928" s="82">
        <v>41603</v>
      </c>
      <c r="H928" s="90">
        <f t="shared" si="63"/>
        <v>0</v>
      </c>
      <c r="I928" s="90">
        <f t="shared" si="64"/>
        <v>2851741.11</v>
      </c>
      <c r="J928" s="118" t="str">
        <f t="shared" si="65"/>
        <v>ATRASADO</v>
      </c>
    </row>
    <row r="929" spans="2:10">
      <c r="B929" s="13" t="s">
        <v>203</v>
      </c>
      <c r="C929" s="19" t="s">
        <v>204</v>
      </c>
      <c r="D929" s="16" t="s">
        <v>774</v>
      </c>
      <c r="E929" s="82">
        <v>41633</v>
      </c>
      <c r="F929" s="32">
        <v>2959305.11</v>
      </c>
      <c r="G929" s="82">
        <v>41633</v>
      </c>
      <c r="H929" s="90">
        <f t="shared" si="63"/>
        <v>0</v>
      </c>
      <c r="I929" s="90">
        <f t="shared" si="64"/>
        <v>2959305.11</v>
      </c>
      <c r="J929" s="118" t="str">
        <f t="shared" si="65"/>
        <v>ATRASADO</v>
      </c>
    </row>
    <row r="930" spans="2:10">
      <c r="B930" s="13" t="s">
        <v>203</v>
      </c>
      <c r="C930" s="19" t="s">
        <v>204</v>
      </c>
      <c r="D930" s="16" t="s">
        <v>775</v>
      </c>
      <c r="E930" s="82">
        <v>41664</v>
      </c>
      <c r="F930" s="32">
        <v>2897925.7800000003</v>
      </c>
      <c r="G930" s="82">
        <v>41664</v>
      </c>
      <c r="H930" s="90">
        <f t="shared" si="63"/>
        <v>0</v>
      </c>
      <c r="I930" s="90">
        <f t="shared" si="64"/>
        <v>2897925.7800000003</v>
      </c>
      <c r="J930" s="118" t="str">
        <f t="shared" si="65"/>
        <v>ATRASADO</v>
      </c>
    </row>
    <row r="931" spans="2:10">
      <c r="B931" s="13" t="s">
        <v>203</v>
      </c>
      <c r="C931" s="19" t="s">
        <v>204</v>
      </c>
      <c r="D931" s="16" t="s">
        <v>776</v>
      </c>
      <c r="E931" s="82">
        <v>41695</v>
      </c>
      <c r="F931" s="32">
        <v>3066014.19</v>
      </c>
      <c r="G931" s="82">
        <v>41695</v>
      </c>
      <c r="H931" s="90">
        <f t="shared" si="63"/>
        <v>0</v>
      </c>
      <c r="I931" s="90">
        <f t="shared" si="64"/>
        <v>3066014.19</v>
      </c>
      <c r="J931" s="118" t="str">
        <f t="shared" si="65"/>
        <v>ATRASADO</v>
      </c>
    </row>
    <row r="932" spans="2:10">
      <c r="B932" s="13" t="s">
        <v>203</v>
      </c>
      <c r="C932" s="19" t="s">
        <v>204</v>
      </c>
      <c r="D932" s="16" t="s">
        <v>777</v>
      </c>
      <c r="E932" s="82">
        <v>41723</v>
      </c>
      <c r="F932" s="32">
        <v>3153444.96</v>
      </c>
      <c r="G932" s="82">
        <v>41723</v>
      </c>
      <c r="H932" s="90">
        <f t="shared" si="63"/>
        <v>0</v>
      </c>
      <c r="I932" s="90">
        <f t="shared" si="64"/>
        <v>3153444.96</v>
      </c>
      <c r="J932" s="118" t="str">
        <f t="shared" si="65"/>
        <v>ATRASADO</v>
      </c>
    </row>
    <row r="933" spans="2:10">
      <c r="B933" s="13" t="s">
        <v>203</v>
      </c>
      <c r="C933" s="19" t="s">
        <v>204</v>
      </c>
      <c r="D933" s="16" t="s">
        <v>778</v>
      </c>
      <c r="E933" s="82">
        <v>41754</v>
      </c>
      <c r="F933" s="32">
        <v>3147600.59</v>
      </c>
      <c r="G933" s="82">
        <v>41754</v>
      </c>
      <c r="H933" s="90">
        <f t="shared" si="63"/>
        <v>0</v>
      </c>
      <c r="I933" s="90">
        <f t="shared" si="64"/>
        <v>3147600.59</v>
      </c>
      <c r="J933" s="118" t="str">
        <f t="shared" si="65"/>
        <v>ATRASADO</v>
      </c>
    </row>
    <row r="934" spans="2:10">
      <c r="B934" s="13" t="s">
        <v>203</v>
      </c>
      <c r="C934" s="19" t="s">
        <v>204</v>
      </c>
      <c r="D934" s="16" t="s">
        <v>779</v>
      </c>
      <c r="E934" s="82">
        <v>41784</v>
      </c>
      <c r="F934" s="32">
        <v>3347319.48</v>
      </c>
      <c r="G934" s="82">
        <v>41784</v>
      </c>
      <c r="H934" s="90">
        <f t="shared" si="63"/>
        <v>0</v>
      </c>
      <c r="I934" s="90">
        <f t="shared" si="64"/>
        <v>3347319.48</v>
      </c>
      <c r="J934" s="118" t="str">
        <f t="shared" si="65"/>
        <v>ATRASADO</v>
      </c>
    </row>
    <row r="935" spans="2:10">
      <c r="B935" s="13" t="s">
        <v>203</v>
      </c>
      <c r="C935" s="19" t="s">
        <v>204</v>
      </c>
      <c r="D935" s="16" t="s">
        <v>780</v>
      </c>
      <c r="E935" s="82">
        <v>41815</v>
      </c>
      <c r="F935" s="32">
        <v>3345719.29</v>
      </c>
      <c r="G935" s="82">
        <v>41815</v>
      </c>
      <c r="H935" s="90">
        <f t="shared" si="63"/>
        <v>0</v>
      </c>
      <c r="I935" s="90">
        <f t="shared" si="64"/>
        <v>3345719.29</v>
      </c>
      <c r="J935" s="118" t="str">
        <f t="shared" si="65"/>
        <v>ATRASADO</v>
      </c>
    </row>
    <row r="936" spans="2:10">
      <c r="B936" s="13" t="s">
        <v>203</v>
      </c>
      <c r="C936" s="19" t="s">
        <v>204</v>
      </c>
      <c r="D936" s="16" t="s">
        <v>781</v>
      </c>
      <c r="E936" s="82">
        <v>41845</v>
      </c>
      <c r="F936" s="32">
        <v>3351096.61</v>
      </c>
      <c r="G936" s="82">
        <v>41845</v>
      </c>
      <c r="H936" s="90">
        <f t="shared" si="63"/>
        <v>0</v>
      </c>
      <c r="I936" s="90">
        <f t="shared" si="64"/>
        <v>3351096.61</v>
      </c>
      <c r="J936" s="118" t="str">
        <f t="shared" si="65"/>
        <v>ATRASADO</v>
      </c>
    </row>
    <row r="937" spans="2:10">
      <c r="B937" s="13" t="s">
        <v>203</v>
      </c>
      <c r="C937" s="19" t="s">
        <v>204</v>
      </c>
      <c r="D937" s="16" t="s">
        <v>782</v>
      </c>
      <c r="E937" s="82">
        <v>41876</v>
      </c>
      <c r="F937" s="32">
        <v>3376362.58</v>
      </c>
      <c r="G937" s="82">
        <v>41876</v>
      </c>
      <c r="H937" s="90">
        <f t="shared" si="63"/>
        <v>0</v>
      </c>
      <c r="I937" s="90">
        <f t="shared" si="64"/>
        <v>3376362.58</v>
      </c>
      <c r="J937" s="118" t="str">
        <f t="shared" si="65"/>
        <v>ATRASADO</v>
      </c>
    </row>
    <row r="938" spans="2:10">
      <c r="B938" s="13" t="s">
        <v>203</v>
      </c>
      <c r="C938" s="19" t="s">
        <v>204</v>
      </c>
      <c r="D938" s="16" t="s">
        <v>783</v>
      </c>
      <c r="E938" s="82">
        <v>41907</v>
      </c>
      <c r="F938" s="32">
        <v>3419714.82</v>
      </c>
      <c r="G938" s="82">
        <v>41907</v>
      </c>
      <c r="H938" s="90">
        <f t="shared" si="63"/>
        <v>0</v>
      </c>
      <c r="I938" s="90">
        <f t="shared" si="64"/>
        <v>3419714.82</v>
      </c>
      <c r="J938" s="118" t="str">
        <f t="shared" si="65"/>
        <v>ATRASADO</v>
      </c>
    </row>
    <row r="939" spans="2:10">
      <c r="B939" s="13" t="s">
        <v>203</v>
      </c>
      <c r="C939" s="19" t="s">
        <v>204</v>
      </c>
      <c r="D939" s="16" t="s">
        <v>784</v>
      </c>
      <c r="E939" s="82">
        <v>41937</v>
      </c>
      <c r="F939" s="32">
        <v>3374212.97</v>
      </c>
      <c r="G939" s="82">
        <v>41937</v>
      </c>
      <c r="H939" s="90">
        <f t="shared" si="63"/>
        <v>0</v>
      </c>
      <c r="I939" s="90">
        <f t="shared" si="64"/>
        <v>3374212.97</v>
      </c>
      <c r="J939" s="118" t="str">
        <f t="shared" si="65"/>
        <v>ATRASADO</v>
      </c>
    </row>
    <row r="940" spans="2:10">
      <c r="B940" s="13" t="s">
        <v>203</v>
      </c>
      <c r="C940" s="19" t="s">
        <v>204</v>
      </c>
      <c r="D940" s="16" t="s">
        <v>785</v>
      </c>
      <c r="E940" s="82">
        <v>41968</v>
      </c>
      <c r="F940" s="32">
        <v>3468399.62</v>
      </c>
      <c r="G940" s="82">
        <v>41968</v>
      </c>
      <c r="H940" s="90">
        <f t="shared" si="63"/>
        <v>0</v>
      </c>
      <c r="I940" s="90">
        <f t="shared" si="64"/>
        <v>3468399.62</v>
      </c>
      <c r="J940" s="118" t="str">
        <f t="shared" si="65"/>
        <v>ATRASADO</v>
      </c>
    </row>
    <row r="941" spans="2:10">
      <c r="B941" s="13" t="s">
        <v>203</v>
      </c>
      <c r="C941" s="19" t="s">
        <v>204</v>
      </c>
      <c r="D941" s="16" t="s">
        <v>786</v>
      </c>
      <c r="E941" s="82">
        <v>41998</v>
      </c>
      <c r="F941" s="32">
        <v>3462093.09</v>
      </c>
      <c r="G941" s="82">
        <v>41998</v>
      </c>
      <c r="H941" s="90">
        <f t="shared" si="63"/>
        <v>0</v>
      </c>
      <c r="I941" s="90">
        <f t="shared" si="64"/>
        <v>3462093.09</v>
      </c>
      <c r="J941" s="118" t="str">
        <f t="shared" si="65"/>
        <v>ATRASADO</v>
      </c>
    </row>
    <row r="942" spans="2:10">
      <c r="B942" s="13" t="s">
        <v>203</v>
      </c>
      <c r="C942" s="19" t="s">
        <v>204</v>
      </c>
      <c r="D942" s="16" t="s">
        <v>787</v>
      </c>
      <c r="E942" s="82">
        <v>42029</v>
      </c>
      <c r="F942" s="32">
        <v>3483766.82</v>
      </c>
      <c r="G942" s="82">
        <v>42029</v>
      </c>
      <c r="H942" s="90">
        <f t="shared" si="63"/>
        <v>0</v>
      </c>
      <c r="I942" s="90">
        <f t="shared" si="64"/>
        <v>3483766.82</v>
      </c>
      <c r="J942" s="118" t="str">
        <f t="shared" si="65"/>
        <v>ATRASADO</v>
      </c>
    </row>
    <row r="943" spans="2:10">
      <c r="B943" s="13" t="s">
        <v>203</v>
      </c>
      <c r="C943" s="19" t="s">
        <v>204</v>
      </c>
      <c r="D943" s="16" t="s">
        <v>788</v>
      </c>
      <c r="E943" s="82">
        <v>42060</v>
      </c>
      <c r="F943" s="32">
        <v>3502142.78</v>
      </c>
      <c r="G943" s="82">
        <v>42060</v>
      </c>
      <c r="H943" s="90">
        <f t="shared" si="63"/>
        <v>0</v>
      </c>
      <c r="I943" s="90">
        <f t="shared" si="64"/>
        <v>3502142.78</v>
      </c>
      <c r="J943" s="118" t="str">
        <f t="shared" si="65"/>
        <v>ATRASADO</v>
      </c>
    </row>
    <row r="944" spans="2:10">
      <c r="B944" s="13" t="s">
        <v>203</v>
      </c>
      <c r="C944" s="19" t="s">
        <v>204</v>
      </c>
      <c r="D944" s="16" t="s">
        <v>789</v>
      </c>
      <c r="E944" s="82">
        <v>42088</v>
      </c>
      <c r="F944" s="32">
        <v>3503339.18</v>
      </c>
      <c r="G944" s="82">
        <v>42088</v>
      </c>
      <c r="H944" s="90">
        <f t="shared" si="63"/>
        <v>0</v>
      </c>
      <c r="I944" s="90">
        <f t="shared" si="64"/>
        <v>3503339.18</v>
      </c>
      <c r="J944" s="118" t="str">
        <f t="shared" si="65"/>
        <v>ATRASADO</v>
      </c>
    </row>
    <row r="945" spans="2:10">
      <c r="B945" s="13" t="s">
        <v>203</v>
      </c>
      <c r="C945" s="19" t="s">
        <v>204</v>
      </c>
      <c r="D945" s="16" t="s">
        <v>790</v>
      </c>
      <c r="E945" s="82">
        <v>42119</v>
      </c>
      <c r="F945" s="32">
        <v>3565044.9499999997</v>
      </c>
      <c r="G945" s="82">
        <v>42119</v>
      </c>
      <c r="H945" s="90">
        <f t="shared" si="63"/>
        <v>0</v>
      </c>
      <c r="I945" s="90">
        <f t="shared" si="64"/>
        <v>3565044.9499999997</v>
      </c>
      <c r="J945" s="118" t="str">
        <f t="shared" si="65"/>
        <v>ATRASADO</v>
      </c>
    </row>
    <row r="946" spans="2:10">
      <c r="B946" s="13" t="s">
        <v>203</v>
      </c>
      <c r="C946" s="19" t="s">
        <v>204</v>
      </c>
      <c r="D946" s="16" t="s">
        <v>791</v>
      </c>
      <c r="E946" s="82">
        <v>42149</v>
      </c>
      <c r="F946" s="32">
        <v>3646912.76</v>
      </c>
      <c r="G946" s="82">
        <v>42149</v>
      </c>
      <c r="H946" s="90">
        <f t="shared" si="63"/>
        <v>0</v>
      </c>
      <c r="I946" s="90">
        <f t="shared" si="64"/>
        <v>3646912.76</v>
      </c>
      <c r="J946" s="118" t="str">
        <f t="shared" si="65"/>
        <v>ATRASADO</v>
      </c>
    </row>
    <row r="947" spans="2:10">
      <c r="B947" s="13" t="s">
        <v>203</v>
      </c>
      <c r="C947" s="19" t="s">
        <v>204</v>
      </c>
      <c r="D947" s="16" t="s">
        <v>792</v>
      </c>
      <c r="E947" s="82">
        <v>42180</v>
      </c>
      <c r="F947" s="32">
        <v>3641848</v>
      </c>
      <c r="G947" s="82">
        <v>42180</v>
      </c>
      <c r="H947" s="90">
        <f t="shared" si="63"/>
        <v>0</v>
      </c>
      <c r="I947" s="90">
        <f t="shared" si="64"/>
        <v>3641848</v>
      </c>
      <c r="J947" s="118" t="str">
        <f t="shared" si="65"/>
        <v>ATRASADO</v>
      </c>
    </row>
    <row r="948" spans="2:10">
      <c r="B948" s="13" t="s">
        <v>203</v>
      </c>
      <c r="C948" s="19" t="s">
        <v>204</v>
      </c>
      <c r="D948" s="16" t="s">
        <v>793</v>
      </c>
      <c r="E948" s="82">
        <v>42210</v>
      </c>
      <c r="F948" s="32">
        <v>3686810.4499999997</v>
      </c>
      <c r="G948" s="82">
        <v>42210</v>
      </c>
      <c r="H948" s="90">
        <f t="shared" si="63"/>
        <v>0</v>
      </c>
      <c r="I948" s="90">
        <f t="shared" si="64"/>
        <v>3686810.4499999997</v>
      </c>
      <c r="J948" s="118" t="str">
        <f t="shared" si="65"/>
        <v>ATRASADO</v>
      </c>
    </row>
    <row r="949" spans="2:10">
      <c r="B949" s="13" t="s">
        <v>203</v>
      </c>
      <c r="C949" s="19" t="s">
        <v>204</v>
      </c>
      <c r="D949" s="16" t="s">
        <v>794</v>
      </c>
      <c r="E949" s="82">
        <v>42241</v>
      </c>
      <c r="F949" s="32">
        <v>3710735.8000000003</v>
      </c>
      <c r="G949" s="82">
        <v>42241</v>
      </c>
      <c r="H949" s="90">
        <f t="shared" si="63"/>
        <v>0</v>
      </c>
      <c r="I949" s="90">
        <f t="shared" si="64"/>
        <v>3710735.8000000003</v>
      </c>
      <c r="J949" s="118" t="str">
        <f t="shared" si="65"/>
        <v>ATRASADO</v>
      </c>
    </row>
    <row r="950" spans="2:10">
      <c r="B950" s="13" t="s">
        <v>203</v>
      </c>
      <c r="C950" s="19" t="s">
        <v>204</v>
      </c>
      <c r="D950" s="16" t="s">
        <v>795</v>
      </c>
      <c r="E950" s="82">
        <v>42272</v>
      </c>
      <c r="F950" s="32">
        <v>3745595.82</v>
      </c>
      <c r="G950" s="82">
        <v>42272</v>
      </c>
      <c r="H950" s="90">
        <f t="shared" si="63"/>
        <v>0</v>
      </c>
      <c r="I950" s="90">
        <f t="shared" si="64"/>
        <v>3745595.82</v>
      </c>
      <c r="J950" s="118" t="str">
        <f t="shared" si="65"/>
        <v>ATRASADO</v>
      </c>
    </row>
    <row r="951" spans="2:10">
      <c r="B951" s="13" t="s">
        <v>203</v>
      </c>
      <c r="C951" s="19" t="s">
        <v>204</v>
      </c>
      <c r="D951" s="16" t="s">
        <v>796</v>
      </c>
      <c r="E951" s="82">
        <v>42302</v>
      </c>
      <c r="F951" s="32">
        <v>3780421.0100000002</v>
      </c>
      <c r="G951" s="82">
        <v>42302</v>
      </c>
      <c r="H951" s="90">
        <f t="shared" si="63"/>
        <v>0</v>
      </c>
      <c r="I951" s="90">
        <f t="shared" si="64"/>
        <v>3780421.0100000002</v>
      </c>
      <c r="J951" s="118" t="str">
        <f t="shared" si="65"/>
        <v>ATRASADO</v>
      </c>
    </row>
    <row r="952" spans="2:10">
      <c r="B952" s="13" t="s">
        <v>203</v>
      </c>
      <c r="C952" s="19" t="s">
        <v>204</v>
      </c>
      <c r="D952" s="16" t="s">
        <v>797</v>
      </c>
      <c r="E952" s="82">
        <v>42333</v>
      </c>
      <c r="F952" s="32">
        <v>3748760.2199999997</v>
      </c>
      <c r="G952" s="82">
        <v>42333</v>
      </c>
      <c r="H952" s="90">
        <f t="shared" si="63"/>
        <v>0</v>
      </c>
      <c r="I952" s="90">
        <f t="shared" si="64"/>
        <v>3748760.2199999997</v>
      </c>
      <c r="J952" s="118" t="str">
        <f t="shared" si="65"/>
        <v>ATRASADO</v>
      </c>
    </row>
    <row r="953" spans="2:10">
      <c r="B953" s="13" t="s">
        <v>203</v>
      </c>
      <c r="C953" s="19" t="s">
        <v>204</v>
      </c>
      <c r="D953" s="16" t="s">
        <v>798</v>
      </c>
      <c r="E953" s="82">
        <v>42363</v>
      </c>
      <c r="F953" s="32">
        <v>3813397.72</v>
      </c>
      <c r="G953" s="82">
        <v>42363</v>
      </c>
      <c r="H953" s="90">
        <f t="shared" si="63"/>
        <v>0</v>
      </c>
      <c r="I953" s="90">
        <f t="shared" si="64"/>
        <v>3813397.72</v>
      </c>
      <c r="J953" s="118" t="str">
        <f t="shared" si="65"/>
        <v>ATRASADO</v>
      </c>
    </row>
    <row r="954" spans="2:10">
      <c r="B954" s="13" t="s">
        <v>203</v>
      </c>
      <c r="C954" s="19" t="s">
        <v>204</v>
      </c>
      <c r="D954" s="16" t="s">
        <v>799</v>
      </c>
      <c r="E954" s="82">
        <v>42394</v>
      </c>
      <c r="F954" s="32">
        <v>3855993.93</v>
      </c>
      <c r="G954" s="82">
        <v>42394</v>
      </c>
      <c r="H954" s="90">
        <f t="shared" si="63"/>
        <v>0</v>
      </c>
      <c r="I954" s="90">
        <f t="shared" si="64"/>
        <v>3855993.93</v>
      </c>
      <c r="J954" s="118" t="str">
        <f t="shared" si="65"/>
        <v>ATRASADO</v>
      </c>
    </row>
    <row r="955" spans="2:10">
      <c r="B955" s="13" t="s">
        <v>203</v>
      </c>
      <c r="C955" s="19" t="s">
        <v>204</v>
      </c>
      <c r="D955" s="16" t="s">
        <v>800</v>
      </c>
      <c r="E955" s="82">
        <v>42425</v>
      </c>
      <c r="F955" s="32">
        <v>3916550.42</v>
      </c>
      <c r="G955" s="82">
        <v>42425</v>
      </c>
      <c r="H955" s="90">
        <f t="shared" si="63"/>
        <v>0</v>
      </c>
      <c r="I955" s="90">
        <f t="shared" si="64"/>
        <v>3916550.42</v>
      </c>
      <c r="J955" s="118" t="str">
        <f t="shared" si="65"/>
        <v>ATRASADO</v>
      </c>
    </row>
    <row r="956" spans="2:10">
      <c r="B956" s="13" t="s">
        <v>203</v>
      </c>
      <c r="C956" s="19" t="s">
        <v>204</v>
      </c>
      <c r="D956" s="16" t="s">
        <v>801</v>
      </c>
      <c r="E956" s="82">
        <v>42454</v>
      </c>
      <c r="F956" s="32">
        <v>3968135.17</v>
      </c>
      <c r="G956" s="82">
        <v>42454</v>
      </c>
      <c r="H956" s="90">
        <f t="shared" si="63"/>
        <v>0</v>
      </c>
      <c r="I956" s="90">
        <f t="shared" si="64"/>
        <v>3968135.17</v>
      </c>
      <c r="J956" s="118" t="str">
        <f t="shared" si="65"/>
        <v>ATRASADO</v>
      </c>
    </row>
    <row r="957" spans="2:10">
      <c r="B957" s="13" t="s">
        <v>203</v>
      </c>
      <c r="C957" s="19" t="s">
        <v>204</v>
      </c>
      <c r="D957" s="16" t="s">
        <v>802</v>
      </c>
      <c r="E957" s="82">
        <v>42485</v>
      </c>
      <c r="F957" s="32">
        <v>5461587.1999999993</v>
      </c>
      <c r="G957" s="82">
        <v>42485</v>
      </c>
      <c r="H957" s="90">
        <f t="shared" si="63"/>
        <v>0</v>
      </c>
      <c r="I957" s="90">
        <f t="shared" si="64"/>
        <v>5461587.1999999993</v>
      </c>
      <c r="J957" s="118" t="str">
        <f t="shared" si="65"/>
        <v>ATRASADO</v>
      </c>
    </row>
    <row r="958" spans="2:10">
      <c r="B958" s="13" t="s">
        <v>203</v>
      </c>
      <c r="C958" s="19" t="s">
        <v>204</v>
      </c>
      <c r="D958" s="16" t="s">
        <v>803</v>
      </c>
      <c r="E958" s="82">
        <v>42515</v>
      </c>
      <c r="F958" s="32">
        <f>5437858.6-2489489.1</f>
        <v>2948369.4999999995</v>
      </c>
      <c r="G958" s="82">
        <v>42515</v>
      </c>
      <c r="H958" s="90">
        <f t="shared" si="63"/>
        <v>0</v>
      </c>
      <c r="I958" s="90">
        <f t="shared" si="64"/>
        <v>2948369.4999999995</v>
      </c>
      <c r="J958" s="118" t="str">
        <f t="shared" si="65"/>
        <v>ATRASADO</v>
      </c>
    </row>
    <row r="959" spans="2:10">
      <c r="B959" s="13" t="s">
        <v>203</v>
      </c>
      <c r="C959" s="19" t="s">
        <v>204</v>
      </c>
      <c r="D959" s="16" t="s">
        <v>804</v>
      </c>
      <c r="E959" s="82">
        <v>42546</v>
      </c>
      <c r="F959" s="32">
        <v>3909806.43</v>
      </c>
      <c r="G959" s="82">
        <v>42546</v>
      </c>
      <c r="H959" s="90">
        <f t="shared" si="63"/>
        <v>0</v>
      </c>
      <c r="I959" s="90">
        <f t="shared" si="64"/>
        <v>3909806.43</v>
      </c>
      <c r="J959" s="118" t="str">
        <f t="shared" si="65"/>
        <v>ATRASADO</v>
      </c>
    </row>
    <row r="960" spans="2:10">
      <c r="B960" s="13" t="s">
        <v>203</v>
      </c>
      <c r="C960" s="19" t="s">
        <v>204</v>
      </c>
      <c r="D960" s="16" t="s">
        <v>805</v>
      </c>
      <c r="E960" s="82">
        <v>42576</v>
      </c>
      <c r="F960" s="32">
        <v>3907513.33</v>
      </c>
      <c r="G960" s="82">
        <v>42576</v>
      </c>
      <c r="H960" s="90">
        <f t="shared" si="63"/>
        <v>0</v>
      </c>
      <c r="I960" s="90">
        <f t="shared" si="64"/>
        <v>3907513.33</v>
      </c>
      <c r="J960" s="118" t="str">
        <f t="shared" si="65"/>
        <v>ATRASADO</v>
      </c>
    </row>
    <row r="961" spans="2:10">
      <c r="B961" s="13" t="s">
        <v>203</v>
      </c>
      <c r="C961" s="19" t="s">
        <v>204</v>
      </c>
      <c r="D961" s="16" t="s">
        <v>806</v>
      </c>
      <c r="E961" s="82">
        <v>42607</v>
      </c>
      <c r="F961" s="32">
        <v>3905868.28</v>
      </c>
      <c r="G961" s="82">
        <v>42607</v>
      </c>
      <c r="H961" s="90">
        <f t="shared" si="63"/>
        <v>0</v>
      </c>
      <c r="I961" s="90">
        <f t="shared" si="64"/>
        <v>3905868.28</v>
      </c>
      <c r="J961" s="118" t="str">
        <f t="shared" si="65"/>
        <v>ATRASADO</v>
      </c>
    </row>
    <row r="962" spans="2:10">
      <c r="B962" s="13" t="s">
        <v>203</v>
      </c>
      <c r="C962" s="19" t="s">
        <v>204</v>
      </c>
      <c r="D962" s="16" t="s">
        <v>807</v>
      </c>
      <c r="E962" s="82">
        <v>42638</v>
      </c>
      <c r="F962" s="32">
        <v>3907782.52</v>
      </c>
      <c r="G962" s="82">
        <v>42638</v>
      </c>
      <c r="H962" s="90">
        <f t="shared" si="63"/>
        <v>0</v>
      </c>
      <c r="I962" s="90">
        <f t="shared" si="64"/>
        <v>3907782.52</v>
      </c>
      <c r="J962" s="118" t="str">
        <f t="shared" si="65"/>
        <v>ATRASADO</v>
      </c>
    </row>
    <row r="963" spans="2:10">
      <c r="B963" s="13" t="s">
        <v>203</v>
      </c>
      <c r="C963" s="19" t="s">
        <v>204</v>
      </c>
      <c r="D963" s="16" t="s">
        <v>808</v>
      </c>
      <c r="E963" s="82">
        <v>42668</v>
      </c>
      <c r="F963" s="32">
        <v>3884492.84</v>
      </c>
      <c r="G963" s="82">
        <v>42668</v>
      </c>
      <c r="H963" s="90">
        <f t="shared" si="63"/>
        <v>0</v>
      </c>
      <c r="I963" s="90">
        <f t="shared" si="64"/>
        <v>3884492.84</v>
      </c>
      <c r="J963" s="118" t="str">
        <f t="shared" si="65"/>
        <v>ATRASADO</v>
      </c>
    </row>
    <row r="964" spans="2:10">
      <c r="B964" s="13" t="s">
        <v>203</v>
      </c>
      <c r="C964" s="19" t="s">
        <v>204</v>
      </c>
      <c r="D964" s="16" t="s">
        <v>809</v>
      </c>
      <c r="E964" s="82">
        <v>42699</v>
      </c>
      <c r="F964" s="32">
        <v>3866331.49</v>
      </c>
      <c r="G964" s="82">
        <v>42699</v>
      </c>
      <c r="H964" s="90">
        <f t="shared" si="63"/>
        <v>0</v>
      </c>
      <c r="I964" s="90">
        <f t="shared" si="64"/>
        <v>3866331.49</v>
      </c>
      <c r="J964" s="118" t="str">
        <f t="shared" si="65"/>
        <v>ATRASADO</v>
      </c>
    </row>
    <row r="965" spans="2:10">
      <c r="B965" s="13" t="s">
        <v>203</v>
      </c>
      <c r="C965" s="19" t="s">
        <v>204</v>
      </c>
      <c r="D965" s="16" t="s">
        <v>810</v>
      </c>
      <c r="E965" s="82">
        <v>42729</v>
      </c>
      <c r="F965" s="32">
        <v>3864144.32</v>
      </c>
      <c r="G965" s="82">
        <v>42729</v>
      </c>
      <c r="H965" s="90">
        <f t="shared" si="63"/>
        <v>0</v>
      </c>
      <c r="I965" s="90">
        <f t="shared" si="64"/>
        <v>3864144.32</v>
      </c>
      <c r="J965" s="118" t="str">
        <f t="shared" si="65"/>
        <v>ATRASADO</v>
      </c>
    </row>
    <row r="966" spans="2:10">
      <c r="B966" s="13" t="s">
        <v>203</v>
      </c>
      <c r="C966" s="19" t="s">
        <v>204</v>
      </c>
      <c r="D966" s="16" t="s">
        <v>811</v>
      </c>
      <c r="E966" s="82">
        <v>42760</v>
      </c>
      <c r="F966" s="32">
        <v>3855162.62</v>
      </c>
      <c r="G966" s="82">
        <v>42760</v>
      </c>
      <c r="H966" s="90">
        <f t="shared" si="63"/>
        <v>0</v>
      </c>
      <c r="I966" s="90">
        <f t="shared" si="64"/>
        <v>3855162.62</v>
      </c>
      <c r="J966" s="118" t="str">
        <f t="shared" si="65"/>
        <v>ATRASADO</v>
      </c>
    </row>
    <row r="967" spans="2:10">
      <c r="B967" s="13" t="s">
        <v>203</v>
      </c>
      <c r="C967" s="19" t="s">
        <v>204</v>
      </c>
      <c r="D967" s="16" t="s">
        <v>812</v>
      </c>
      <c r="E967" s="82">
        <v>42791</v>
      </c>
      <c r="F967" s="32">
        <v>3850554.44</v>
      </c>
      <c r="G967" s="82">
        <v>42791</v>
      </c>
      <c r="H967" s="90">
        <f t="shared" si="63"/>
        <v>0</v>
      </c>
      <c r="I967" s="90">
        <f t="shared" si="64"/>
        <v>3850554.44</v>
      </c>
      <c r="J967" s="118" t="str">
        <f t="shared" si="65"/>
        <v>ATRASADO</v>
      </c>
    </row>
    <row r="968" spans="2:10">
      <c r="B968" s="13" t="s">
        <v>203</v>
      </c>
      <c r="C968" s="19" t="s">
        <v>204</v>
      </c>
      <c r="D968" s="16" t="s">
        <v>813</v>
      </c>
      <c r="E968" s="82">
        <v>42819</v>
      </c>
      <c r="F968" s="32">
        <v>3897318.73</v>
      </c>
      <c r="G968" s="82">
        <v>42819</v>
      </c>
      <c r="H968" s="90">
        <f t="shared" si="63"/>
        <v>0</v>
      </c>
      <c r="I968" s="90">
        <f t="shared" si="64"/>
        <v>3897318.73</v>
      </c>
      <c r="J968" s="118" t="str">
        <f t="shared" si="65"/>
        <v>ATRASADO</v>
      </c>
    </row>
    <row r="969" spans="2:10">
      <c r="B969" s="13" t="s">
        <v>203</v>
      </c>
      <c r="C969" s="19" t="s">
        <v>204</v>
      </c>
      <c r="D969" s="16" t="s">
        <v>814</v>
      </c>
      <c r="E969" s="82">
        <v>42850</v>
      </c>
      <c r="F969" s="32">
        <v>3880690.21</v>
      </c>
      <c r="G969" s="82">
        <v>42850</v>
      </c>
      <c r="H969" s="90">
        <f t="shared" si="63"/>
        <v>0</v>
      </c>
      <c r="I969" s="90">
        <f t="shared" si="64"/>
        <v>3880690.21</v>
      </c>
      <c r="J969" s="118" t="str">
        <f t="shared" si="65"/>
        <v>ATRASADO</v>
      </c>
    </row>
    <row r="970" spans="2:10">
      <c r="B970" s="13" t="s">
        <v>203</v>
      </c>
      <c r="C970" s="19" t="s">
        <v>204</v>
      </c>
      <c r="D970" s="16" t="s">
        <v>815</v>
      </c>
      <c r="E970" s="82">
        <v>42880</v>
      </c>
      <c r="F970" s="32">
        <v>3931590</v>
      </c>
      <c r="G970" s="82">
        <v>42880</v>
      </c>
      <c r="H970" s="90">
        <f t="shared" si="63"/>
        <v>0</v>
      </c>
      <c r="I970" s="90">
        <f t="shared" si="64"/>
        <v>3931590</v>
      </c>
      <c r="J970" s="118" t="str">
        <f t="shared" si="65"/>
        <v>ATRASADO</v>
      </c>
    </row>
    <row r="971" spans="2:10">
      <c r="B971" s="13" t="s">
        <v>203</v>
      </c>
      <c r="C971" s="19" t="s">
        <v>204</v>
      </c>
      <c r="D971" s="16" t="s">
        <v>816</v>
      </c>
      <c r="E971" s="82">
        <v>42911</v>
      </c>
      <c r="F971" s="32">
        <v>3935727.55</v>
      </c>
      <c r="G971" s="82">
        <v>42911</v>
      </c>
      <c r="H971" s="90">
        <f t="shared" si="63"/>
        <v>0</v>
      </c>
      <c r="I971" s="90">
        <f t="shared" si="64"/>
        <v>3935727.55</v>
      </c>
      <c r="J971" s="118" t="str">
        <f t="shared" si="65"/>
        <v>ATRASADO</v>
      </c>
    </row>
    <row r="972" spans="2:10">
      <c r="B972" s="13" t="s">
        <v>203</v>
      </c>
      <c r="C972" s="19" t="s">
        <v>204</v>
      </c>
      <c r="D972" s="16" t="s">
        <v>816</v>
      </c>
      <c r="E972" s="82">
        <v>42941</v>
      </c>
      <c r="F972" s="32">
        <v>4038730.11</v>
      </c>
      <c r="G972" s="82">
        <v>42941</v>
      </c>
      <c r="H972" s="90">
        <f t="shared" si="63"/>
        <v>0</v>
      </c>
      <c r="I972" s="90">
        <f t="shared" si="64"/>
        <v>4038730.11</v>
      </c>
      <c r="J972" s="118" t="str">
        <f t="shared" si="65"/>
        <v>ATRASADO</v>
      </c>
    </row>
    <row r="973" spans="2:10">
      <c r="B973" s="13" t="s">
        <v>203</v>
      </c>
      <c r="C973" s="19" t="s">
        <v>204</v>
      </c>
      <c r="D973" s="16" t="s">
        <v>817</v>
      </c>
      <c r="E973" s="82">
        <v>42972</v>
      </c>
      <c r="F973" s="32">
        <v>3929321.82</v>
      </c>
      <c r="G973" s="82">
        <v>42972</v>
      </c>
      <c r="H973" s="90">
        <f t="shared" si="63"/>
        <v>0</v>
      </c>
      <c r="I973" s="90">
        <f t="shared" si="64"/>
        <v>3929321.82</v>
      </c>
      <c r="J973" s="118" t="str">
        <f t="shared" si="65"/>
        <v>ATRASADO</v>
      </c>
    </row>
    <row r="974" spans="2:10">
      <c r="B974" s="13" t="s">
        <v>203</v>
      </c>
      <c r="C974" s="19" t="s">
        <v>204</v>
      </c>
      <c r="D974" s="16" t="s">
        <v>818</v>
      </c>
      <c r="E974" s="82">
        <v>43003</v>
      </c>
      <c r="F974" s="32">
        <v>3938294.82</v>
      </c>
      <c r="G974" s="82">
        <v>43003</v>
      </c>
      <c r="H974" s="90">
        <f t="shared" ref="H974:H1009" si="66">IF(F974&gt;0,0,"")</f>
        <v>0</v>
      </c>
      <c r="I974" s="90">
        <f t="shared" ref="I974:I1009" si="67">IF(H974=0,F974,"")</f>
        <v>3938294.82</v>
      </c>
      <c r="J974" s="118" t="str">
        <f t="shared" ref="J974:J1008" si="68">IF(I974&gt;0,"ATRASADO","")</f>
        <v>ATRASADO</v>
      </c>
    </row>
    <row r="975" spans="2:10">
      <c r="B975" s="13" t="s">
        <v>203</v>
      </c>
      <c r="C975" s="19" t="s">
        <v>204</v>
      </c>
      <c r="D975" s="16" t="s">
        <v>819</v>
      </c>
      <c r="E975" s="82">
        <v>43033</v>
      </c>
      <c r="F975" s="32">
        <v>3976656.38</v>
      </c>
      <c r="G975" s="82">
        <v>43033</v>
      </c>
      <c r="H975" s="90">
        <f t="shared" si="66"/>
        <v>0</v>
      </c>
      <c r="I975" s="90">
        <f t="shared" si="67"/>
        <v>3976656.38</v>
      </c>
      <c r="J975" s="118" t="str">
        <f t="shared" si="68"/>
        <v>ATRASADO</v>
      </c>
    </row>
    <row r="976" spans="2:10">
      <c r="B976" s="13" t="s">
        <v>203</v>
      </c>
      <c r="C976" s="19" t="s">
        <v>204</v>
      </c>
      <c r="D976" s="16" t="s">
        <v>820</v>
      </c>
      <c r="E976" s="82">
        <v>43064</v>
      </c>
      <c r="F976" s="32">
        <v>3969129.03</v>
      </c>
      <c r="G976" s="82">
        <v>43064</v>
      </c>
      <c r="H976" s="90">
        <f t="shared" si="66"/>
        <v>0</v>
      </c>
      <c r="I976" s="90">
        <f t="shared" si="67"/>
        <v>3969129.03</v>
      </c>
      <c r="J976" s="118" t="str">
        <f t="shared" si="68"/>
        <v>ATRASADO</v>
      </c>
    </row>
    <row r="977" spans="2:10">
      <c r="B977" s="13" t="s">
        <v>203</v>
      </c>
      <c r="C977" s="19" t="s">
        <v>204</v>
      </c>
      <c r="D977" s="16" t="s">
        <v>821</v>
      </c>
      <c r="E977" s="82">
        <v>43094</v>
      </c>
      <c r="F977" s="32">
        <v>3959134.1</v>
      </c>
      <c r="G977" s="82">
        <v>43094</v>
      </c>
      <c r="H977" s="90">
        <f t="shared" si="66"/>
        <v>0</v>
      </c>
      <c r="I977" s="90">
        <f t="shared" si="67"/>
        <v>3959134.1</v>
      </c>
      <c r="J977" s="118" t="str">
        <f t="shared" si="68"/>
        <v>ATRASADO</v>
      </c>
    </row>
    <row r="978" spans="2:10">
      <c r="B978" s="13" t="s">
        <v>203</v>
      </c>
      <c r="C978" s="19" t="s">
        <v>204</v>
      </c>
      <c r="D978" s="16" t="s">
        <v>822</v>
      </c>
      <c r="E978" s="82">
        <v>43125</v>
      </c>
      <c r="F978" s="32">
        <v>4025273.42</v>
      </c>
      <c r="G978" s="82">
        <v>43125</v>
      </c>
      <c r="H978" s="90">
        <f t="shared" si="66"/>
        <v>0</v>
      </c>
      <c r="I978" s="90">
        <f t="shared" si="67"/>
        <v>4025273.42</v>
      </c>
      <c r="J978" s="118" t="str">
        <f t="shared" si="68"/>
        <v>ATRASADO</v>
      </c>
    </row>
    <row r="979" spans="2:10">
      <c r="B979" s="13" t="s">
        <v>203</v>
      </c>
      <c r="C979" s="19" t="s">
        <v>204</v>
      </c>
      <c r="D979" s="16" t="s">
        <v>823</v>
      </c>
      <c r="E979" s="82">
        <v>43156</v>
      </c>
      <c r="F979" s="32">
        <v>4047031.44</v>
      </c>
      <c r="G979" s="82">
        <v>43156</v>
      </c>
      <c r="H979" s="90">
        <f t="shared" si="66"/>
        <v>0</v>
      </c>
      <c r="I979" s="90">
        <f t="shared" si="67"/>
        <v>4047031.44</v>
      </c>
      <c r="J979" s="118" t="str">
        <f t="shared" si="68"/>
        <v>ATRASADO</v>
      </c>
    </row>
    <row r="980" spans="2:10">
      <c r="B980" s="13" t="s">
        <v>203</v>
      </c>
      <c r="C980" s="19" t="s">
        <v>204</v>
      </c>
      <c r="D980" s="16" t="s">
        <v>824</v>
      </c>
      <c r="E980" s="82">
        <v>43184</v>
      </c>
      <c r="F980" s="32">
        <v>4148324.37</v>
      </c>
      <c r="G980" s="82">
        <v>43184</v>
      </c>
      <c r="H980" s="90">
        <f t="shared" si="66"/>
        <v>0</v>
      </c>
      <c r="I980" s="90">
        <f t="shared" si="67"/>
        <v>4148324.37</v>
      </c>
      <c r="J980" s="118" t="str">
        <f t="shared" si="68"/>
        <v>ATRASADO</v>
      </c>
    </row>
    <row r="981" spans="2:10">
      <c r="B981" s="13" t="s">
        <v>203</v>
      </c>
      <c r="C981" s="19" t="s">
        <v>204</v>
      </c>
      <c r="D981" s="16" t="s">
        <v>825</v>
      </c>
      <c r="E981" s="82">
        <v>43215</v>
      </c>
      <c r="F981" s="32">
        <v>4157781.31</v>
      </c>
      <c r="G981" s="82">
        <v>43215</v>
      </c>
      <c r="H981" s="90">
        <f t="shared" si="66"/>
        <v>0</v>
      </c>
      <c r="I981" s="90">
        <f t="shared" si="67"/>
        <v>4157781.31</v>
      </c>
      <c r="J981" s="118" t="str">
        <f t="shared" si="68"/>
        <v>ATRASADO</v>
      </c>
    </row>
    <row r="982" spans="2:10">
      <c r="B982" s="13" t="s">
        <v>203</v>
      </c>
      <c r="C982" s="19" t="s">
        <v>204</v>
      </c>
      <c r="D982" s="16" t="s">
        <v>826</v>
      </c>
      <c r="E982" s="82">
        <v>43245</v>
      </c>
      <c r="F982" s="32">
        <v>4149207.11</v>
      </c>
      <c r="G982" s="82">
        <v>43245</v>
      </c>
      <c r="H982" s="90">
        <f t="shared" si="66"/>
        <v>0</v>
      </c>
      <c r="I982" s="90">
        <f t="shared" si="67"/>
        <v>4149207.11</v>
      </c>
      <c r="J982" s="118" t="str">
        <f t="shared" si="68"/>
        <v>ATRASADO</v>
      </c>
    </row>
    <row r="983" spans="2:10">
      <c r="B983" s="13" t="s">
        <v>203</v>
      </c>
      <c r="C983" s="19" t="s">
        <v>204</v>
      </c>
      <c r="D983" s="16" t="s">
        <v>827</v>
      </c>
      <c r="E983" s="82">
        <v>43276</v>
      </c>
      <c r="F983" s="32">
        <v>4225695.6900000004</v>
      </c>
      <c r="G983" s="82">
        <v>43276</v>
      </c>
      <c r="H983" s="90">
        <f t="shared" si="66"/>
        <v>0</v>
      </c>
      <c r="I983" s="90">
        <f t="shared" si="67"/>
        <v>4225695.6900000004</v>
      </c>
      <c r="J983" s="118" t="str">
        <f t="shared" si="68"/>
        <v>ATRASADO</v>
      </c>
    </row>
    <row r="984" spans="2:10">
      <c r="B984" s="13" t="s">
        <v>203</v>
      </c>
      <c r="C984" s="19" t="s">
        <v>204</v>
      </c>
      <c r="D984" s="16" t="s">
        <v>828</v>
      </c>
      <c r="E984" s="82">
        <v>43306</v>
      </c>
      <c r="F984" s="32">
        <v>4226044.6399999997</v>
      </c>
      <c r="G984" s="82">
        <v>43306</v>
      </c>
      <c r="H984" s="90">
        <f t="shared" si="66"/>
        <v>0</v>
      </c>
      <c r="I984" s="90">
        <f t="shared" si="67"/>
        <v>4226044.6399999997</v>
      </c>
      <c r="J984" s="118" t="str">
        <f t="shared" si="68"/>
        <v>ATRASADO</v>
      </c>
    </row>
    <row r="985" spans="2:10">
      <c r="B985" s="13" t="s">
        <v>203</v>
      </c>
      <c r="C985" s="19" t="s">
        <v>204</v>
      </c>
      <c r="D985" s="16" t="s">
        <v>829</v>
      </c>
      <c r="E985" s="82">
        <v>43337</v>
      </c>
      <c r="F985" s="32">
        <v>4213309.5199999996</v>
      </c>
      <c r="G985" s="82">
        <v>43337</v>
      </c>
      <c r="H985" s="90">
        <f t="shared" si="66"/>
        <v>0</v>
      </c>
      <c r="I985" s="90">
        <f t="shared" si="67"/>
        <v>4213309.5199999996</v>
      </c>
      <c r="J985" s="118" t="str">
        <f t="shared" si="68"/>
        <v>ATRASADO</v>
      </c>
    </row>
    <row r="986" spans="2:10">
      <c r="B986" s="13" t="s">
        <v>203</v>
      </c>
      <c r="C986" s="19" t="s">
        <v>204</v>
      </c>
      <c r="D986" s="16" t="s">
        <v>830</v>
      </c>
      <c r="E986" s="82">
        <v>43368</v>
      </c>
      <c r="F986" s="32">
        <v>4113944.43</v>
      </c>
      <c r="G986" s="82">
        <v>43368</v>
      </c>
      <c r="H986" s="90">
        <f t="shared" si="66"/>
        <v>0</v>
      </c>
      <c r="I986" s="90">
        <f t="shared" si="67"/>
        <v>4113944.43</v>
      </c>
      <c r="J986" s="118" t="str">
        <f t="shared" si="68"/>
        <v>ATRASADO</v>
      </c>
    </row>
    <row r="987" spans="2:10">
      <c r="B987" s="13" t="s">
        <v>203</v>
      </c>
      <c r="C987" s="19" t="s">
        <v>204</v>
      </c>
      <c r="D987" s="16" t="s">
        <v>831</v>
      </c>
      <c r="E987" s="82">
        <v>43398</v>
      </c>
      <c r="F987" s="32">
        <v>4283335.5599999996</v>
      </c>
      <c r="G987" s="82">
        <v>43398</v>
      </c>
      <c r="H987" s="90">
        <f t="shared" si="66"/>
        <v>0</v>
      </c>
      <c r="I987" s="90">
        <f t="shared" si="67"/>
        <v>4283335.5599999996</v>
      </c>
      <c r="J987" s="118" t="str">
        <f t="shared" si="68"/>
        <v>ATRASADO</v>
      </c>
    </row>
    <row r="988" spans="2:10">
      <c r="B988" s="13" t="s">
        <v>203</v>
      </c>
      <c r="C988" s="19" t="s">
        <v>434</v>
      </c>
      <c r="D988" s="16" t="s">
        <v>832</v>
      </c>
      <c r="E988" s="82">
        <v>43429</v>
      </c>
      <c r="F988" s="32">
        <v>4286650.58</v>
      </c>
      <c r="G988" s="82">
        <v>43429</v>
      </c>
      <c r="H988" s="90">
        <f t="shared" si="66"/>
        <v>0</v>
      </c>
      <c r="I988" s="90">
        <f t="shared" si="67"/>
        <v>4286650.58</v>
      </c>
      <c r="J988" s="118" t="str">
        <f t="shared" si="68"/>
        <v>ATRASADO</v>
      </c>
    </row>
    <row r="989" spans="2:10">
      <c r="B989" s="13" t="s">
        <v>203</v>
      </c>
      <c r="C989" s="19" t="s">
        <v>434</v>
      </c>
      <c r="D989" s="16" t="s">
        <v>833</v>
      </c>
      <c r="E989" s="82">
        <v>43459</v>
      </c>
      <c r="F989" s="32">
        <v>4319286.38</v>
      </c>
      <c r="G989" s="82">
        <v>43459</v>
      </c>
      <c r="H989" s="90">
        <f t="shared" si="66"/>
        <v>0</v>
      </c>
      <c r="I989" s="90">
        <f t="shared" si="67"/>
        <v>4319286.38</v>
      </c>
      <c r="J989" s="118" t="str">
        <f t="shared" si="68"/>
        <v>ATRASADO</v>
      </c>
    </row>
    <row r="990" spans="2:10">
      <c r="B990" s="13" t="s">
        <v>203</v>
      </c>
      <c r="C990" s="19" t="s">
        <v>434</v>
      </c>
      <c r="D990" s="16" t="s">
        <v>834</v>
      </c>
      <c r="E990" s="82">
        <v>43490</v>
      </c>
      <c r="F990" s="32">
        <v>4278831.3600000003</v>
      </c>
      <c r="G990" s="82">
        <v>43490</v>
      </c>
      <c r="H990" s="90">
        <f t="shared" si="66"/>
        <v>0</v>
      </c>
      <c r="I990" s="90">
        <f t="shared" si="67"/>
        <v>4278831.3600000003</v>
      </c>
      <c r="J990" s="118" t="str">
        <f t="shared" si="68"/>
        <v>ATRASADO</v>
      </c>
    </row>
    <row r="991" spans="2:10">
      <c r="B991" s="13" t="s">
        <v>203</v>
      </c>
      <c r="C991" s="19" t="s">
        <v>434</v>
      </c>
      <c r="D991" s="16" t="s">
        <v>835</v>
      </c>
      <c r="E991" s="82">
        <v>43521</v>
      </c>
      <c r="F991" s="32">
        <v>4395905.59</v>
      </c>
      <c r="G991" s="82">
        <v>43521</v>
      </c>
      <c r="H991" s="90">
        <f t="shared" si="66"/>
        <v>0</v>
      </c>
      <c r="I991" s="90">
        <f t="shared" si="67"/>
        <v>4395905.59</v>
      </c>
      <c r="J991" s="118" t="str">
        <f t="shared" si="68"/>
        <v>ATRASADO</v>
      </c>
    </row>
    <row r="992" spans="2:10">
      <c r="B992" s="13" t="s">
        <v>203</v>
      </c>
      <c r="C992" s="19" t="s">
        <v>434</v>
      </c>
      <c r="D992" s="16" t="s">
        <v>836</v>
      </c>
      <c r="E992" s="82">
        <v>43549</v>
      </c>
      <c r="F992" s="32">
        <v>4391008.57</v>
      </c>
      <c r="G992" s="82">
        <v>43549</v>
      </c>
      <c r="H992" s="90">
        <f t="shared" si="66"/>
        <v>0</v>
      </c>
      <c r="I992" s="90">
        <f t="shared" si="67"/>
        <v>4391008.57</v>
      </c>
      <c r="J992" s="118" t="str">
        <f t="shared" si="68"/>
        <v>ATRASADO</v>
      </c>
    </row>
    <row r="993" spans="2:10">
      <c r="B993" s="13" t="s">
        <v>203</v>
      </c>
      <c r="C993" s="19" t="s">
        <v>434</v>
      </c>
      <c r="D993" s="16" t="s">
        <v>837</v>
      </c>
      <c r="E993" s="82">
        <v>43580</v>
      </c>
      <c r="F993" s="32">
        <v>4783481.33</v>
      </c>
      <c r="G993" s="82">
        <v>43580</v>
      </c>
      <c r="H993" s="90">
        <f t="shared" si="66"/>
        <v>0</v>
      </c>
      <c r="I993" s="90">
        <f t="shared" si="67"/>
        <v>4783481.33</v>
      </c>
      <c r="J993" s="118" t="str">
        <f t="shared" si="68"/>
        <v>ATRASADO</v>
      </c>
    </row>
    <row r="994" spans="2:10">
      <c r="B994" s="13" t="s">
        <v>203</v>
      </c>
      <c r="C994" s="19" t="s">
        <v>434</v>
      </c>
      <c r="D994" s="18" t="s">
        <v>838</v>
      </c>
      <c r="E994" s="82">
        <v>43610</v>
      </c>
      <c r="F994" s="32">
        <v>4777871.75</v>
      </c>
      <c r="G994" s="82">
        <v>43610</v>
      </c>
      <c r="H994" s="90">
        <f t="shared" si="66"/>
        <v>0</v>
      </c>
      <c r="I994" s="90">
        <f t="shared" si="67"/>
        <v>4777871.75</v>
      </c>
      <c r="J994" s="118" t="str">
        <f t="shared" si="68"/>
        <v>ATRASADO</v>
      </c>
    </row>
    <row r="995" spans="2:10">
      <c r="B995" s="13" t="s">
        <v>203</v>
      </c>
      <c r="C995" s="19" t="s">
        <v>434</v>
      </c>
      <c r="D995" s="18" t="s">
        <v>839</v>
      </c>
      <c r="E995" s="82">
        <v>43641</v>
      </c>
      <c r="F995" s="32">
        <v>4838551.62</v>
      </c>
      <c r="G995" s="82">
        <v>43641</v>
      </c>
      <c r="H995" s="90">
        <f t="shared" si="66"/>
        <v>0</v>
      </c>
      <c r="I995" s="90">
        <f t="shared" si="67"/>
        <v>4838551.62</v>
      </c>
      <c r="J995" s="118" t="str">
        <f t="shared" si="68"/>
        <v>ATRASADO</v>
      </c>
    </row>
    <row r="996" spans="2:10">
      <c r="B996" s="13" t="s">
        <v>203</v>
      </c>
      <c r="C996" s="19" t="s">
        <v>434</v>
      </c>
      <c r="D996" s="12" t="s">
        <v>840</v>
      </c>
      <c r="E996" s="82">
        <v>43671</v>
      </c>
      <c r="F996" s="32">
        <v>4928107.84</v>
      </c>
      <c r="G996" s="82">
        <v>43671</v>
      </c>
      <c r="H996" s="90">
        <f t="shared" si="66"/>
        <v>0</v>
      </c>
      <c r="I996" s="90">
        <f t="shared" si="67"/>
        <v>4928107.84</v>
      </c>
      <c r="J996" s="118" t="str">
        <f t="shared" si="68"/>
        <v>ATRASADO</v>
      </c>
    </row>
    <row r="997" spans="2:10">
      <c r="B997" s="13" t="s">
        <v>203</v>
      </c>
      <c r="C997" s="19" t="s">
        <v>434</v>
      </c>
      <c r="D997" s="12" t="s">
        <v>841</v>
      </c>
      <c r="E997" s="82">
        <v>43702</v>
      </c>
      <c r="F997" s="32">
        <v>9913809.9399999995</v>
      </c>
      <c r="G997" s="82">
        <v>43702</v>
      </c>
      <c r="H997" s="90">
        <f t="shared" si="66"/>
        <v>0</v>
      </c>
      <c r="I997" s="90">
        <f t="shared" si="67"/>
        <v>9913809.9399999995</v>
      </c>
      <c r="J997" s="118" t="str">
        <f t="shared" si="68"/>
        <v>ATRASADO</v>
      </c>
    </row>
    <row r="998" spans="2:10">
      <c r="B998" s="13" t="s">
        <v>203</v>
      </c>
      <c r="C998" s="19" t="s">
        <v>434</v>
      </c>
      <c r="D998" s="12" t="s">
        <v>842</v>
      </c>
      <c r="E998" s="82">
        <v>43733</v>
      </c>
      <c r="F998" s="32">
        <v>10166996.26</v>
      </c>
      <c r="G998" s="82">
        <v>43733</v>
      </c>
      <c r="H998" s="90">
        <f t="shared" si="66"/>
        <v>0</v>
      </c>
      <c r="I998" s="90">
        <f t="shared" si="67"/>
        <v>10166996.26</v>
      </c>
      <c r="J998" s="118" t="str">
        <f t="shared" si="68"/>
        <v>ATRASADO</v>
      </c>
    </row>
    <row r="999" spans="2:10">
      <c r="B999" s="13" t="s">
        <v>203</v>
      </c>
      <c r="C999" s="19" t="s">
        <v>434</v>
      </c>
      <c r="D999" s="12" t="s">
        <v>843</v>
      </c>
      <c r="E999" s="82">
        <v>43763</v>
      </c>
      <c r="F999" s="32">
        <v>9346939.9299999997</v>
      </c>
      <c r="G999" s="82">
        <v>43763</v>
      </c>
      <c r="H999" s="90">
        <f t="shared" si="66"/>
        <v>0</v>
      </c>
      <c r="I999" s="90">
        <f t="shared" si="67"/>
        <v>9346939.9299999997</v>
      </c>
      <c r="J999" s="118" t="str">
        <f t="shared" si="68"/>
        <v>ATRASADO</v>
      </c>
    </row>
    <row r="1000" spans="2:10">
      <c r="B1000" s="13" t="s">
        <v>203</v>
      </c>
      <c r="C1000" s="19" t="s">
        <v>434</v>
      </c>
      <c r="D1000" s="12" t="s">
        <v>844</v>
      </c>
      <c r="E1000" s="82">
        <v>43794</v>
      </c>
      <c r="F1000" s="32">
        <v>9555860.1500000004</v>
      </c>
      <c r="G1000" s="82">
        <v>43794</v>
      </c>
      <c r="H1000" s="90">
        <f t="shared" si="66"/>
        <v>0</v>
      </c>
      <c r="I1000" s="90">
        <f t="shared" si="67"/>
        <v>9555860.1500000004</v>
      </c>
      <c r="J1000" s="118" t="str">
        <f t="shared" si="68"/>
        <v>ATRASADO</v>
      </c>
    </row>
    <row r="1001" spans="2:10">
      <c r="B1001" s="13" t="s">
        <v>203</v>
      </c>
      <c r="C1001" s="19" t="s">
        <v>434</v>
      </c>
      <c r="D1001" s="12" t="s">
        <v>845</v>
      </c>
      <c r="E1001" s="82">
        <v>43824</v>
      </c>
      <c r="F1001" s="32">
        <v>9783450.3800000008</v>
      </c>
      <c r="G1001" s="82">
        <v>43824</v>
      </c>
      <c r="H1001" s="90">
        <f t="shared" si="66"/>
        <v>0</v>
      </c>
      <c r="I1001" s="90">
        <f t="shared" si="67"/>
        <v>9783450.3800000008</v>
      </c>
      <c r="J1001" s="118" t="str">
        <f t="shared" si="68"/>
        <v>ATRASADO</v>
      </c>
    </row>
    <row r="1002" spans="2:10">
      <c r="B1002" s="13" t="s">
        <v>203</v>
      </c>
      <c r="C1002" s="19" t="s">
        <v>434</v>
      </c>
      <c r="D1002" s="12" t="s">
        <v>846</v>
      </c>
      <c r="E1002" s="82">
        <v>43855</v>
      </c>
      <c r="F1002" s="32">
        <v>9898380.3200000003</v>
      </c>
      <c r="G1002" s="82">
        <v>43855</v>
      </c>
      <c r="H1002" s="90">
        <f t="shared" si="66"/>
        <v>0</v>
      </c>
      <c r="I1002" s="90">
        <f t="shared" si="67"/>
        <v>9898380.3200000003</v>
      </c>
      <c r="J1002" s="118" t="str">
        <f t="shared" si="68"/>
        <v>ATRASADO</v>
      </c>
    </row>
    <row r="1003" spans="2:10">
      <c r="B1003" s="13" t="s">
        <v>203</v>
      </c>
      <c r="C1003" s="19" t="s">
        <v>434</v>
      </c>
      <c r="D1003" s="12" t="s">
        <v>847</v>
      </c>
      <c r="E1003" s="82">
        <v>43886</v>
      </c>
      <c r="F1003" s="32">
        <v>10773514.35</v>
      </c>
      <c r="G1003" s="82">
        <v>43886</v>
      </c>
      <c r="H1003" s="90">
        <f t="shared" si="66"/>
        <v>0</v>
      </c>
      <c r="I1003" s="90">
        <f t="shared" si="67"/>
        <v>10773514.35</v>
      </c>
      <c r="J1003" s="118" t="str">
        <f t="shared" si="68"/>
        <v>ATRASADO</v>
      </c>
    </row>
    <row r="1004" spans="2:10">
      <c r="B1004" s="84" t="s">
        <v>203</v>
      </c>
      <c r="C1004" s="19" t="s">
        <v>434</v>
      </c>
      <c r="D1004" s="83" t="s">
        <v>848</v>
      </c>
      <c r="E1004" s="82">
        <v>43915</v>
      </c>
      <c r="F1004" s="32">
        <v>10554614.949999999</v>
      </c>
      <c r="G1004" s="82">
        <v>43915</v>
      </c>
      <c r="H1004" s="90">
        <f t="shared" si="66"/>
        <v>0</v>
      </c>
      <c r="I1004" s="90">
        <f t="shared" si="67"/>
        <v>10554614.949999999</v>
      </c>
      <c r="J1004" s="118" t="str">
        <f t="shared" si="68"/>
        <v>ATRASADO</v>
      </c>
    </row>
    <row r="1005" spans="2:10">
      <c r="B1005" s="13" t="s">
        <v>203</v>
      </c>
      <c r="C1005" s="19" t="s">
        <v>434</v>
      </c>
      <c r="D1005" s="12" t="s">
        <v>854</v>
      </c>
      <c r="E1005" s="82">
        <v>43946</v>
      </c>
      <c r="F1005" s="32">
        <v>10795535.02</v>
      </c>
      <c r="G1005" s="82">
        <v>43946</v>
      </c>
      <c r="H1005" s="90">
        <f t="shared" si="66"/>
        <v>0</v>
      </c>
      <c r="I1005" s="90">
        <f t="shared" si="67"/>
        <v>10795535.02</v>
      </c>
      <c r="J1005" s="118" t="str">
        <f t="shared" si="68"/>
        <v>ATRASADO</v>
      </c>
    </row>
    <row r="1006" spans="2:10">
      <c r="B1006" s="13" t="s">
        <v>203</v>
      </c>
      <c r="C1006" s="19" t="s">
        <v>434</v>
      </c>
      <c r="D1006" s="12" t="s">
        <v>860</v>
      </c>
      <c r="E1006" s="82">
        <v>43976</v>
      </c>
      <c r="F1006" s="32">
        <v>10702783.619999999</v>
      </c>
      <c r="G1006" s="82">
        <v>43976</v>
      </c>
      <c r="H1006" s="90">
        <f t="shared" si="66"/>
        <v>0</v>
      </c>
      <c r="I1006" s="90">
        <f t="shared" si="67"/>
        <v>10702783.619999999</v>
      </c>
      <c r="J1006" s="118" t="str">
        <f t="shared" si="68"/>
        <v>ATRASADO</v>
      </c>
    </row>
    <row r="1007" spans="2:10">
      <c r="B1007" s="13" t="s">
        <v>203</v>
      </c>
      <c r="C1007" s="19" t="s">
        <v>434</v>
      </c>
      <c r="D1007" s="12" t="s">
        <v>867</v>
      </c>
      <c r="E1007" s="82">
        <v>44007</v>
      </c>
      <c r="F1007" s="32">
        <v>10833726.310000001</v>
      </c>
      <c r="G1007" s="82">
        <v>44007</v>
      </c>
      <c r="H1007" s="90">
        <f t="shared" si="66"/>
        <v>0</v>
      </c>
      <c r="I1007" s="90">
        <f t="shared" si="67"/>
        <v>10833726.310000001</v>
      </c>
      <c r="J1007" s="118" t="str">
        <f t="shared" si="68"/>
        <v>ATRASADO</v>
      </c>
    </row>
    <row r="1008" spans="2:10">
      <c r="B1008" s="13" t="s">
        <v>203</v>
      </c>
      <c r="C1008" s="19" t="s">
        <v>434</v>
      </c>
      <c r="D1008" s="12" t="s">
        <v>868</v>
      </c>
      <c r="E1008" s="82">
        <v>44037</v>
      </c>
      <c r="F1008" s="32">
        <v>8802087.6500000004</v>
      </c>
      <c r="G1008" s="82">
        <v>44037</v>
      </c>
      <c r="H1008" s="90">
        <f t="shared" si="66"/>
        <v>0</v>
      </c>
      <c r="I1008" s="90">
        <f t="shared" si="67"/>
        <v>8802087.6500000004</v>
      </c>
      <c r="J1008" s="118" t="str">
        <f t="shared" si="68"/>
        <v>ATRASADO</v>
      </c>
    </row>
    <row r="1009" spans="2:10">
      <c r="B1009" s="13" t="s">
        <v>203</v>
      </c>
      <c r="C1009" s="19" t="s">
        <v>434</v>
      </c>
      <c r="D1009" s="12" t="s">
        <v>1036</v>
      </c>
      <c r="E1009" s="82" t="s">
        <v>1035</v>
      </c>
      <c r="F1009" s="32">
        <v>12200196.449999988</v>
      </c>
      <c r="G1009" s="82">
        <v>44264</v>
      </c>
      <c r="H1009" s="90">
        <f t="shared" si="66"/>
        <v>0</v>
      </c>
      <c r="I1009" s="90">
        <f t="shared" si="67"/>
        <v>12200196.449999988</v>
      </c>
      <c r="J1009" s="113" t="s">
        <v>1052</v>
      </c>
    </row>
    <row r="1010" spans="2:10">
      <c r="B1010" s="13"/>
      <c r="C1010" s="19"/>
      <c r="D1010" s="75"/>
      <c r="E1010" s="95"/>
      <c r="F1010" s="77"/>
      <c r="G1010" s="78"/>
    </row>
    <row r="1011" spans="2:10">
      <c r="B1011" s="13" t="s">
        <v>201</v>
      </c>
      <c r="C1011" s="19" t="s">
        <v>164</v>
      </c>
      <c r="D1011" s="28">
        <v>1500006385</v>
      </c>
      <c r="E1011" s="29">
        <v>42465</v>
      </c>
      <c r="F1011" s="32">
        <v>200000</v>
      </c>
      <c r="G1011" s="29">
        <v>42465</v>
      </c>
      <c r="H1011" s="90">
        <f>IF(F1011&gt;0,0,"")</f>
        <v>0</v>
      </c>
      <c r="I1011" s="90">
        <f>IF(H1011=0,F1011,"")</f>
        <v>200000</v>
      </c>
      <c r="J1011" s="118" t="str">
        <f>IF(I1011&gt;0,"ATRASADO","")</f>
        <v>ATRASADO</v>
      </c>
    </row>
    <row r="1012" spans="2:10">
      <c r="B1012" s="13"/>
      <c r="C1012" s="19"/>
      <c r="D1012" s="28"/>
      <c r="E1012" s="29"/>
      <c r="F1012" s="32"/>
      <c r="G1012" s="29"/>
    </row>
    <row r="1013" spans="2:10">
      <c r="B1013" s="13" t="s">
        <v>202</v>
      </c>
      <c r="C1013" s="19" t="s">
        <v>165</v>
      </c>
      <c r="D1013" s="16">
        <v>1500000500</v>
      </c>
      <c r="E1013" s="10">
        <v>42454</v>
      </c>
      <c r="F1013" s="32">
        <v>81476.69</v>
      </c>
      <c r="G1013" s="10">
        <v>42454</v>
      </c>
      <c r="H1013" s="90">
        <f t="shared" ref="H1013:H1026" si="69">IF(F1013&gt;0,0,"")</f>
        <v>0</v>
      </c>
      <c r="I1013" s="90">
        <f t="shared" ref="I1013:I1026" si="70">IF(H1013=0,F1013,"")</f>
        <v>81476.69</v>
      </c>
      <c r="J1013" s="118" t="str">
        <f t="shared" ref="J1013:J1026" si="71">IF(I1013&gt;0,"ATRASADO","")</f>
        <v>ATRASADO</v>
      </c>
    </row>
    <row r="1014" spans="2:10">
      <c r="B1014" s="13" t="s">
        <v>202</v>
      </c>
      <c r="C1014" s="19" t="s">
        <v>165</v>
      </c>
      <c r="D1014" s="16">
        <v>1500000523</v>
      </c>
      <c r="E1014" s="10">
        <v>42485</v>
      </c>
      <c r="F1014" s="32">
        <v>78304.38</v>
      </c>
      <c r="G1014" s="10">
        <v>42485</v>
      </c>
      <c r="H1014" s="90">
        <f t="shared" si="69"/>
        <v>0</v>
      </c>
      <c r="I1014" s="90">
        <f t="shared" si="70"/>
        <v>78304.38</v>
      </c>
      <c r="J1014" s="118" t="str">
        <f t="shared" si="71"/>
        <v>ATRASADO</v>
      </c>
    </row>
    <row r="1015" spans="2:10">
      <c r="B1015" s="13" t="s">
        <v>202</v>
      </c>
      <c r="C1015" s="19" t="s">
        <v>165</v>
      </c>
      <c r="D1015" s="16">
        <v>1500000561</v>
      </c>
      <c r="E1015" s="10">
        <v>42515</v>
      </c>
      <c r="F1015" s="32">
        <v>81981.86</v>
      </c>
      <c r="G1015" s="10">
        <v>42515</v>
      </c>
      <c r="H1015" s="90">
        <f t="shared" si="69"/>
        <v>0</v>
      </c>
      <c r="I1015" s="90">
        <f t="shared" si="70"/>
        <v>81981.86</v>
      </c>
      <c r="J1015" s="118" t="str">
        <f t="shared" si="71"/>
        <v>ATRASADO</v>
      </c>
    </row>
    <row r="1016" spans="2:10">
      <c r="B1016" s="13" t="s">
        <v>202</v>
      </c>
      <c r="C1016" s="19" t="s">
        <v>165</v>
      </c>
      <c r="D1016" s="16">
        <v>1500000589</v>
      </c>
      <c r="E1016" s="10">
        <v>42546</v>
      </c>
      <c r="F1016" s="32">
        <v>84664.4</v>
      </c>
      <c r="G1016" s="10">
        <v>42546</v>
      </c>
      <c r="H1016" s="90">
        <f t="shared" si="69"/>
        <v>0</v>
      </c>
      <c r="I1016" s="90">
        <f t="shared" si="70"/>
        <v>84664.4</v>
      </c>
      <c r="J1016" s="118" t="str">
        <f t="shared" si="71"/>
        <v>ATRASADO</v>
      </c>
    </row>
    <row r="1017" spans="2:10">
      <c r="B1017" s="13" t="s">
        <v>202</v>
      </c>
      <c r="C1017" s="19" t="s">
        <v>165</v>
      </c>
      <c r="D1017" s="16">
        <v>1500000618</v>
      </c>
      <c r="E1017" s="10">
        <v>42576</v>
      </c>
      <c r="F1017" s="32">
        <v>20169.5</v>
      </c>
      <c r="G1017" s="10">
        <v>42576</v>
      </c>
      <c r="H1017" s="90">
        <f t="shared" si="69"/>
        <v>0</v>
      </c>
      <c r="I1017" s="90">
        <f t="shared" si="70"/>
        <v>20169.5</v>
      </c>
      <c r="J1017" s="118" t="str">
        <f t="shared" si="71"/>
        <v>ATRASADO</v>
      </c>
    </row>
    <row r="1018" spans="2:10">
      <c r="B1018" s="13" t="s">
        <v>202</v>
      </c>
      <c r="C1018" s="19" t="s">
        <v>165</v>
      </c>
      <c r="D1018" s="16">
        <v>1500000634</v>
      </c>
      <c r="E1018" s="10">
        <v>42607</v>
      </c>
      <c r="F1018" s="32">
        <v>82012.91</v>
      </c>
      <c r="G1018" s="10">
        <v>42607</v>
      </c>
      <c r="H1018" s="90">
        <f t="shared" si="69"/>
        <v>0</v>
      </c>
      <c r="I1018" s="90">
        <f t="shared" si="70"/>
        <v>82012.91</v>
      </c>
      <c r="J1018" s="118" t="str">
        <f t="shared" si="71"/>
        <v>ATRASADO</v>
      </c>
    </row>
    <row r="1019" spans="2:10">
      <c r="B1019" s="13" t="s">
        <v>202</v>
      </c>
      <c r="C1019" s="19" t="s">
        <v>165</v>
      </c>
      <c r="D1019" s="16">
        <v>1500000647</v>
      </c>
      <c r="E1019" s="10">
        <v>42607</v>
      </c>
      <c r="F1019" s="32">
        <v>73864.320000000007</v>
      </c>
      <c r="G1019" s="10">
        <v>42607</v>
      </c>
      <c r="H1019" s="90">
        <f t="shared" si="69"/>
        <v>0</v>
      </c>
      <c r="I1019" s="90">
        <f t="shared" si="70"/>
        <v>73864.320000000007</v>
      </c>
      <c r="J1019" s="118" t="str">
        <f t="shared" si="71"/>
        <v>ATRASADO</v>
      </c>
    </row>
    <row r="1020" spans="2:10">
      <c r="B1020" s="13" t="s">
        <v>202</v>
      </c>
      <c r="C1020" s="19" t="s">
        <v>165</v>
      </c>
      <c r="D1020" s="16">
        <v>1500000664</v>
      </c>
      <c r="E1020" s="10">
        <v>42638</v>
      </c>
      <c r="F1020" s="32">
        <v>13104</v>
      </c>
      <c r="G1020" s="10">
        <v>42638</v>
      </c>
      <c r="H1020" s="90">
        <f t="shared" si="69"/>
        <v>0</v>
      </c>
      <c r="I1020" s="90">
        <f t="shared" si="70"/>
        <v>13104</v>
      </c>
      <c r="J1020" s="118" t="str">
        <f t="shared" si="71"/>
        <v>ATRASADO</v>
      </c>
    </row>
    <row r="1021" spans="2:10">
      <c r="B1021" s="13" t="s">
        <v>202</v>
      </c>
      <c r="C1021" s="19" t="s">
        <v>165</v>
      </c>
      <c r="D1021" s="16">
        <v>1500000678</v>
      </c>
      <c r="E1021" s="10">
        <v>42638</v>
      </c>
      <c r="F1021" s="32">
        <v>77333.279999999999</v>
      </c>
      <c r="G1021" s="10">
        <v>42638</v>
      </c>
      <c r="H1021" s="90">
        <f t="shared" si="69"/>
        <v>0</v>
      </c>
      <c r="I1021" s="90">
        <f t="shared" si="70"/>
        <v>77333.279999999999</v>
      </c>
      <c r="J1021" s="118" t="str">
        <f t="shared" si="71"/>
        <v>ATRASADO</v>
      </c>
    </row>
    <row r="1022" spans="2:10">
      <c r="B1022" s="13" t="s">
        <v>202</v>
      </c>
      <c r="C1022" s="19" t="s">
        <v>165</v>
      </c>
      <c r="D1022" s="16">
        <v>1500000696</v>
      </c>
      <c r="E1022" s="10">
        <v>42668</v>
      </c>
      <c r="F1022" s="32">
        <v>13104</v>
      </c>
      <c r="G1022" s="10">
        <v>42668</v>
      </c>
      <c r="H1022" s="90">
        <f t="shared" si="69"/>
        <v>0</v>
      </c>
      <c r="I1022" s="90">
        <f t="shared" si="70"/>
        <v>13104</v>
      </c>
      <c r="J1022" s="118" t="str">
        <f t="shared" si="71"/>
        <v>ATRASADO</v>
      </c>
    </row>
    <row r="1023" spans="2:10">
      <c r="B1023" s="13" t="s">
        <v>202</v>
      </c>
      <c r="C1023" s="19" t="s">
        <v>165</v>
      </c>
      <c r="D1023" s="16">
        <v>1500000734</v>
      </c>
      <c r="E1023" s="10">
        <v>42699</v>
      </c>
      <c r="F1023" s="32">
        <v>85937.61</v>
      </c>
      <c r="G1023" s="10">
        <v>42699</v>
      </c>
      <c r="H1023" s="90">
        <f t="shared" si="69"/>
        <v>0</v>
      </c>
      <c r="I1023" s="90">
        <f t="shared" si="70"/>
        <v>85937.61</v>
      </c>
      <c r="J1023" s="118" t="str">
        <f t="shared" si="71"/>
        <v>ATRASADO</v>
      </c>
    </row>
    <row r="1024" spans="2:10">
      <c r="B1024" s="13" t="s">
        <v>202</v>
      </c>
      <c r="C1024" s="19" t="s">
        <v>165</v>
      </c>
      <c r="D1024" s="16">
        <v>1500000742</v>
      </c>
      <c r="E1024" s="10">
        <v>42699</v>
      </c>
      <c r="F1024" s="32">
        <v>13104</v>
      </c>
      <c r="G1024" s="10">
        <v>42699</v>
      </c>
      <c r="H1024" s="90">
        <f t="shared" si="69"/>
        <v>0</v>
      </c>
      <c r="I1024" s="90">
        <f t="shared" si="70"/>
        <v>13104</v>
      </c>
      <c r="J1024" s="118" t="str">
        <f t="shared" si="71"/>
        <v>ATRASADO</v>
      </c>
    </row>
    <row r="1025" spans="2:10">
      <c r="B1025" s="13" t="s">
        <v>202</v>
      </c>
      <c r="C1025" s="19" t="s">
        <v>165</v>
      </c>
      <c r="D1025" s="16">
        <v>2802181093</v>
      </c>
      <c r="E1025" s="10">
        <v>41815</v>
      </c>
      <c r="F1025" s="32">
        <v>1421.15</v>
      </c>
      <c r="G1025" s="10">
        <v>41815</v>
      </c>
      <c r="H1025" s="90">
        <f t="shared" si="69"/>
        <v>0</v>
      </c>
      <c r="I1025" s="90">
        <f t="shared" si="70"/>
        <v>1421.15</v>
      </c>
      <c r="J1025" s="118" t="str">
        <f t="shared" si="71"/>
        <v>ATRASADO</v>
      </c>
    </row>
    <row r="1026" spans="2:10">
      <c r="B1026" s="13" t="s">
        <v>202</v>
      </c>
      <c r="C1026" s="19" t="s">
        <v>165</v>
      </c>
      <c r="D1026" s="35" t="s">
        <v>429</v>
      </c>
      <c r="E1026" s="36">
        <v>40902</v>
      </c>
      <c r="F1026" s="32">
        <v>318394.82</v>
      </c>
      <c r="G1026" s="10">
        <v>40902</v>
      </c>
      <c r="H1026" s="90">
        <f t="shared" si="69"/>
        <v>0</v>
      </c>
      <c r="I1026" s="90">
        <f t="shared" si="70"/>
        <v>318394.82</v>
      </c>
      <c r="J1026" s="118" t="str">
        <f t="shared" si="71"/>
        <v>ATRASADO</v>
      </c>
    </row>
    <row r="1027" spans="2:10">
      <c r="B1027" s="68"/>
      <c r="C1027" s="102"/>
      <c r="D1027" s="101"/>
      <c r="E1027" s="100"/>
      <c r="F1027" s="104"/>
      <c r="G1027" s="100"/>
    </row>
    <row r="1028" spans="2:10">
      <c r="B1028" s="107" t="s">
        <v>919</v>
      </c>
      <c r="C1028" s="102" t="s">
        <v>935</v>
      </c>
      <c r="D1028" s="101" t="s">
        <v>934</v>
      </c>
      <c r="E1028" s="100" t="s">
        <v>933</v>
      </c>
      <c r="F1028" s="104">
        <v>32400</v>
      </c>
      <c r="G1028" s="100" t="s">
        <v>933</v>
      </c>
      <c r="H1028" s="90">
        <f>IF(F1028&gt;0,0,"")</f>
        <v>0</v>
      </c>
      <c r="I1028" s="90">
        <f>IF(H1028=0,F1028,"")</f>
        <v>32400</v>
      </c>
      <c r="J1028" s="118" t="str">
        <f>IF(I1028&gt;0,"ATRASADO","")</f>
        <v>ATRASADO</v>
      </c>
    </row>
    <row r="1029" spans="2:10">
      <c r="B1029" s="68"/>
      <c r="C1029" s="19"/>
      <c r="D1029" s="35"/>
      <c r="E1029" s="36"/>
      <c r="F1029" s="32"/>
      <c r="G1029" s="36"/>
    </row>
    <row r="1030" spans="2:10">
      <c r="B1030" s="13" t="s">
        <v>879</v>
      </c>
      <c r="C1030" s="19" t="s">
        <v>705</v>
      </c>
      <c r="D1030" s="21" t="s">
        <v>620</v>
      </c>
      <c r="E1030" s="36">
        <v>44117</v>
      </c>
      <c r="F1030" s="32">
        <v>42550.8</v>
      </c>
      <c r="G1030" s="36">
        <v>44117</v>
      </c>
      <c r="H1030" s="90">
        <f>IF(F1030&gt;0,0,"")</f>
        <v>0</v>
      </c>
      <c r="I1030" s="90">
        <f>IF(H1030=0,F1030,"")</f>
        <v>42550.8</v>
      </c>
      <c r="J1030" s="118" t="str">
        <f>IF(I1030&gt;0,"ATRASADO","")</f>
        <v>ATRASADO</v>
      </c>
    </row>
    <row r="1031" spans="2:10">
      <c r="B1031" s="13"/>
      <c r="C1031" s="19"/>
      <c r="D1031" s="35"/>
      <c r="E1031" s="36"/>
      <c r="F1031" s="32"/>
      <c r="G1031" s="36"/>
    </row>
    <row r="1032" spans="2:10">
      <c r="B1032" s="13" t="s">
        <v>637</v>
      </c>
      <c r="C1032" s="19" t="s">
        <v>21</v>
      </c>
      <c r="D1032" s="21" t="s">
        <v>592</v>
      </c>
      <c r="E1032" s="24">
        <v>43405</v>
      </c>
      <c r="F1032" s="32">
        <v>253440</v>
      </c>
      <c r="G1032" s="36">
        <v>43405</v>
      </c>
      <c r="H1032" s="90">
        <f>IF(F1032&gt;0,0,"")</f>
        <v>0</v>
      </c>
      <c r="I1032" s="90">
        <f>IF(H1032=0,F1032,"")</f>
        <v>253440</v>
      </c>
      <c r="J1032" s="118" t="str">
        <f>IF(I1032&gt;0,"ATRASADO","")</f>
        <v>ATRASADO</v>
      </c>
    </row>
    <row r="1033" spans="2:10">
      <c r="B1033" s="13"/>
      <c r="C1033" s="19"/>
      <c r="D1033" s="61"/>
      <c r="E1033" s="96"/>
      <c r="F1033" s="62"/>
      <c r="G1033" s="27"/>
    </row>
    <row r="1034" spans="2:10">
      <c r="B1034" s="13" t="s">
        <v>256</v>
      </c>
      <c r="C1034" s="19" t="s">
        <v>6</v>
      </c>
      <c r="D1034" s="12" t="s">
        <v>255</v>
      </c>
      <c r="E1034" s="10">
        <v>40298</v>
      </c>
      <c r="F1034" s="32">
        <v>57750</v>
      </c>
      <c r="G1034" s="27">
        <v>40298</v>
      </c>
      <c r="H1034" s="90">
        <f>IF(F1034&gt;0,0,"")</f>
        <v>0</v>
      </c>
      <c r="I1034" s="90">
        <f>IF(H1034=0,F1034,"")</f>
        <v>57750</v>
      </c>
      <c r="J1034" s="118" t="str">
        <f>IF(I1034&gt;0,"ATRASADO","")</f>
        <v>ATRASADO</v>
      </c>
    </row>
    <row r="1035" spans="2:10">
      <c r="B1035" s="13" t="s">
        <v>256</v>
      </c>
      <c r="C1035" s="19" t="s">
        <v>6</v>
      </c>
      <c r="D1035" s="12" t="s">
        <v>257</v>
      </c>
      <c r="E1035" s="10">
        <v>40329</v>
      </c>
      <c r="F1035" s="32">
        <v>55000</v>
      </c>
      <c r="G1035" s="27">
        <v>40329</v>
      </c>
      <c r="H1035" s="90">
        <f>IF(F1035&gt;0,0,"")</f>
        <v>0</v>
      </c>
      <c r="I1035" s="90">
        <f>IF(H1035=0,F1035,"")</f>
        <v>55000</v>
      </c>
      <c r="J1035" s="118" t="str">
        <f>IF(I1035&gt;0,"ATRASADO","")</f>
        <v>ATRASADO</v>
      </c>
    </row>
    <row r="1036" spans="2:10">
      <c r="B1036" s="13" t="s">
        <v>256</v>
      </c>
      <c r="C1036" s="19" t="s">
        <v>6</v>
      </c>
      <c r="D1036" s="12" t="s">
        <v>258</v>
      </c>
      <c r="E1036" s="10">
        <v>40359</v>
      </c>
      <c r="F1036" s="32">
        <v>60500</v>
      </c>
      <c r="G1036" s="27">
        <v>40359</v>
      </c>
      <c r="H1036" s="90">
        <f>IF(F1036&gt;0,0,"")</f>
        <v>0</v>
      </c>
      <c r="I1036" s="90">
        <f>IF(H1036=0,F1036,"")</f>
        <v>60500</v>
      </c>
      <c r="J1036" s="118" t="str">
        <f>IF(I1036&gt;0,"ATRASADO","")</f>
        <v>ATRASADO</v>
      </c>
    </row>
    <row r="1037" spans="2:10">
      <c r="B1037" s="13" t="s">
        <v>256</v>
      </c>
      <c r="C1037" s="19" t="s">
        <v>6</v>
      </c>
      <c r="D1037" s="12" t="s">
        <v>259</v>
      </c>
      <c r="E1037" s="10">
        <v>40390</v>
      </c>
      <c r="F1037" s="32">
        <v>22000</v>
      </c>
      <c r="G1037" s="27">
        <v>40390</v>
      </c>
      <c r="H1037" s="90">
        <f>IF(F1037&gt;0,0,"")</f>
        <v>0</v>
      </c>
      <c r="I1037" s="90">
        <f>IF(H1037=0,F1037,"")</f>
        <v>22000</v>
      </c>
      <c r="J1037" s="118" t="str">
        <f>IF(I1037&gt;0,"ATRASADO","")</f>
        <v>ATRASADO</v>
      </c>
    </row>
    <row r="1038" spans="2:10">
      <c r="B1038" s="13"/>
      <c r="C1038" s="19"/>
      <c r="D1038" s="12"/>
      <c r="E1038" s="10"/>
      <c r="F1038" s="32"/>
      <c r="G1038" s="27"/>
    </row>
    <row r="1039" spans="2:10" ht="24.75">
      <c r="B1039" s="13" t="s">
        <v>206</v>
      </c>
      <c r="C1039" s="19" t="s">
        <v>207</v>
      </c>
      <c r="D1039" s="21" t="s">
        <v>205</v>
      </c>
      <c r="E1039" s="11">
        <v>39987</v>
      </c>
      <c r="F1039" s="32">
        <v>220440</v>
      </c>
      <c r="G1039" s="11">
        <v>39987</v>
      </c>
      <c r="H1039" s="90">
        <f>IF(F1039&gt;0,0,"")</f>
        <v>0</v>
      </c>
      <c r="I1039" s="90">
        <f>IF(H1039=0,F1039,"")</f>
        <v>220440</v>
      </c>
      <c r="J1039" s="118" t="str">
        <f>IF(I1039&gt;0,"ATRASADO","")</f>
        <v>ATRASADO</v>
      </c>
    </row>
    <row r="1040" spans="2:10">
      <c r="B1040" s="13"/>
      <c r="C1040" s="19"/>
      <c r="D1040" s="21"/>
      <c r="E1040" s="11"/>
      <c r="F1040" s="32"/>
      <c r="G1040" s="11"/>
    </row>
    <row r="1041" spans="2:10">
      <c r="B1041" s="13" t="s">
        <v>386</v>
      </c>
      <c r="C1041" s="19" t="s">
        <v>102</v>
      </c>
      <c r="D1041" s="38">
        <v>1500892235</v>
      </c>
      <c r="E1041" s="36">
        <v>40440</v>
      </c>
      <c r="F1041" s="32">
        <v>87000</v>
      </c>
      <c r="G1041" s="36">
        <v>40440</v>
      </c>
      <c r="H1041" s="90">
        <f>IF(F1041&gt;0,0,"")</f>
        <v>0</v>
      </c>
      <c r="I1041" s="90">
        <f>IF(H1041=0,F1041,"")</f>
        <v>87000</v>
      </c>
      <c r="J1041" s="118" t="str">
        <f>IF(I1041&gt;0,"ATRASADO","")</f>
        <v>ATRASADO</v>
      </c>
    </row>
    <row r="1042" spans="2:10">
      <c r="B1042" s="13"/>
      <c r="C1042" s="19"/>
      <c r="D1042" s="38"/>
      <c r="E1042" s="36"/>
      <c r="F1042" s="32"/>
      <c r="G1042" s="36"/>
    </row>
    <row r="1043" spans="2:10">
      <c r="B1043" s="13" t="s">
        <v>380</v>
      </c>
      <c r="C1043" s="19" t="s">
        <v>381</v>
      </c>
      <c r="D1043" s="38" t="s">
        <v>457</v>
      </c>
      <c r="E1043" s="36">
        <v>40544</v>
      </c>
      <c r="F1043" s="32">
        <v>41863.230000000003</v>
      </c>
      <c r="G1043" s="36">
        <v>40544</v>
      </c>
      <c r="H1043" s="90">
        <f>IF(F1043&gt;0,0,"")</f>
        <v>0</v>
      </c>
      <c r="I1043" s="90">
        <f>IF(H1043=0,F1043,"")</f>
        <v>41863.230000000003</v>
      </c>
      <c r="J1043" s="118" t="str">
        <f>IF(I1043&gt;0,"ATRASADO","")</f>
        <v>ATRASADO</v>
      </c>
    </row>
    <row r="1044" spans="2:10">
      <c r="B1044" s="13"/>
      <c r="C1044" s="19"/>
      <c r="D1044" s="38"/>
      <c r="E1044" s="36"/>
      <c r="F1044" s="32"/>
      <c r="G1044" s="36"/>
    </row>
    <row r="1045" spans="2:10">
      <c r="B1045" s="13" t="s">
        <v>209</v>
      </c>
      <c r="C1045" s="19" t="s">
        <v>207</v>
      </c>
      <c r="D1045" s="34" t="s">
        <v>208</v>
      </c>
      <c r="E1045" s="20">
        <v>39955</v>
      </c>
      <c r="F1045" s="32">
        <v>40000</v>
      </c>
      <c r="G1045" s="20">
        <v>39955</v>
      </c>
      <c r="H1045" s="90">
        <f>IF(F1045&gt;0,0,"")</f>
        <v>0</v>
      </c>
      <c r="I1045" s="90">
        <f>IF(H1045=0,F1045,"")</f>
        <v>40000</v>
      </c>
      <c r="J1045" s="118" t="str">
        <f>IF(I1045&gt;0,"ATRASADO","")</f>
        <v>ATRASADO</v>
      </c>
    </row>
    <row r="1046" spans="2:10">
      <c r="B1046" s="13"/>
      <c r="C1046" s="19"/>
      <c r="D1046" s="34"/>
      <c r="E1046" s="20"/>
      <c r="F1046" s="32"/>
      <c r="G1046" s="20"/>
    </row>
    <row r="1047" spans="2:10">
      <c r="B1047" s="13" t="s">
        <v>397</v>
      </c>
      <c r="C1047" s="19" t="s">
        <v>398</v>
      </c>
      <c r="D1047" s="35" t="s">
        <v>396</v>
      </c>
      <c r="E1047" s="36">
        <v>40651</v>
      </c>
      <c r="F1047" s="32">
        <v>13273.82</v>
      </c>
      <c r="G1047" s="36">
        <v>40651</v>
      </c>
      <c r="H1047" s="90">
        <f t="shared" ref="H1047:H1052" si="72">IF(F1047&gt;0,0,"")</f>
        <v>0</v>
      </c>
      <c r="I1047" s="90">
        <f t="shared" ref="I1047:I1052" si="73">IF(H1047=0,F1047,"")</f>
        <v>13273.82</v>
      </c>
      <c r="J1047" s="118" t="str">
        <f t="shared" ref="J1047:J1052" si="74">IF(I1047&gt;0,"ATRASADO","")</f>
        <v>ATRASADO</v>
      </c>
    </row>
    <row r="1048" spans="2:10">
      <c r="B1048" s="13" t="s">
        <v>397</v>
      </c>
      <c r="C1048" s="19" t="s">
        <v>398</v>
      </c>
      <c r="D1048" s="35" t="s">
        <v>399</v>
      </c>
      <c r="E1048" s="36">
        <v>40683</v>
      </c>
      <c r="F1048" s="32">
        <f>6624.54+399.99</f>
        <v>7024.53</v>
      </c>
      <c r="G1048" s="36">
        <v>40683</v>
      </c>
      <c r="H1048" s="90">
        <f t="shared" si="72"/>
        <v>0</v>
      </c>
      <c r="I1048" s="90">
        <f t="shared" si="73"/>
        <v>7024.53</v>
      </c>
      <c r="J1048" s="118" t="str">
        <f t="shared" si="74"/>
        <v>ATRASADO</v>
      </c>
    </row>
    <row r="1049" spans="2:10">
      <c r="B1049" s="13" t="s">
        <v>397</v>
      </c>
      <c r="C1049" s="19" t="s">
        <v>398</v>
      </c>
      <c r="D1049" s="35" t="s">
        <v>400</v>
      </c>
      <c r="E1049" s="36">
        <v>40724</v>
      </c>
      <c r="F1049" s="32">
        <v>1160</v>
      </c>
      <c r="G1049" s="36">
        <v>40724</v>
      </c>
      <c r="H1049" s="90">
        <f t="shared" si="72"/>
        <v>0</v>
      </c>
      <c r="I1049" s="90">
        <f t="shared" si="73"/>
        <v>1160</v>
      </c>
      <c r="J1049" s="118" t="str">
        <f t="shared" si="74"/>
        <v>ATRASADO</v>
      </c>
    </row>
    <row r="1050" spans="2:10">
      <c r="B1050" s="13" t="s">
        <v>397</v>
      </c>
      <c r="C1050" s="19" t="s">
        <v>398</v>
      </c>
      <c r="D1050" s="42">
        <v>127193</v>
      </c>
      <c r="E1050" s="97">
        <v>40633</v>
      </c>
      <c r="F1050" s="32">
        <v>285304.7</v>
      </c>
      <c r="G1050" s="36">
        <v>40633</v>
      </c>
      <c r="H1050" s="90">
        <f t="shared" si="72"/>
        <v>0</v>
      </c>
      <c r="I1050" s="90">
        <f t="shared" si="73"/>
        <v>285304.7</v>
      </c>
      <c r="J1050" s="118" t="str">
        <f t="shared" si="74"/>
        <v>ATRASADO</v>
      </c>
    </row>
    <row r="1051" spans="2:10">
      <c r="B1051" s="13" t="s">
        <v>397</v>
      </c>
      <c r="C1051" s="19" t="s">
        <v>398</v>
      </c>
      <c r="D1051" s="42">
        <v>127304</v>
      </c>
      <c r="E1051" s="97">
        <v>40651</v>
      </c>
      <c r="F1051" s="32">
        <v>276101.34000000003</v>
      </c>
      <c r="G1051" s="36">
        <v>40651</v>
      </c>
      <c r="H1051" s="90">
        <f t="shared" si="72"/>
        <v>0</v>
      </c>
      <c r="I1051" s="90">
        <f t="shared" si="73"/>
        <v>276101.34000000003</v>
      </c>
      <c r="J1051" s="118" t="str">
        <f t="shared" si="74"/>
        <v>ATRASADO</v>
      </c>
    </row>
    <row r="1052" spans="2:10">
      <c r="B1052" s="13" t="s">
        <v>397</v>
      </c>
      <c r="C1052" s="19" t="s">
        <v>398</v>
      </c>
      <c r="D1052" s="42">
        <v>127058</v>
      </c>
      <c r="E1052" s="97">
        <v>40663</v>
      </c>
      <c r="F1052" s="32">
        <v>276101.33</v>
      </c>
      <c r="G1052" s="36">
        <v>40663</v>
      </c>
      <c r="H1052" s="90">
        <f t="shared" si="72"/>
        <v>0</v>
      </c>
      <c r="I1052" s="90">
        <f t="shared" si="73"/>
        <v>276101.33</v>
      </c>
      <c r="J1052" s="118" t="str">
        <f t="shared" si="74"/>
        <v>ATRASADO</v>
      </c>
    </row>
    <row r="1053" spans="2:10">
      <c r="B1053" s="13"/>
      <c r="C1053" s="19"/>
      <c r="D1053" s="42"/>
      <c r="E1053" s="97"/>
      <c r="F1053" s="32"/>
      <c r="G1053" s="43"/>
    </row>
    <row r="1054" spans="2:10">
      <c r="B1054" s="13" t="s">
        <v>498</v>
      </c>
      <c r="C1054" s="19" t="s">
        <v>102</v>
      </c>
      <c r="D1054" s="16">
        <v>1500000116</v>
      </c>
      <c r="E1054" s="20">
        <v>40196</v>
      </c>
      <c r="F1054" s="32">
        <v>20000</v>
      </c>
      <c r="G1054" s="10">
        <v>40196</v>
      </c>
      <c r="H1054" s="90">
        <f>IF(F1054&gt;0,0,"")</f>
        <v>0</v>
      </c>
      <c r="I1054" s="90">
        <f>IF(H1054=0,F1054,"")</f>
        <v>20000</v>
      </c>
      <c r="J1054" s="118" t="str">
        <f>IF(I1054&gt;0,"ATRASADO","")</f>
        <v>ATRASADO</v>
      </c>
    </row>
    <row r="1055" spans="2:10">
      <c r="B1055" s="13"/>
      <c r="C1055" s="19"/>
      <c r="D1055" s="16"/>
      <c r="E1055" s="20"/>
      <c r="F1055" s="32"/>
      <c r="G1055" s="10"/>
    </row>
    <row r="1056" spans="2:10">
      <c r="B1056" s="13" t="s">
        <v>261</v>
      </c>
      <c r="C1056" s="19" t="s">
        <v>18</v>
      </c>
      <c r="D1056" s="12" t="s">
        <v>18</v>
      </c>
      <c r="E1056" s="11">
        <v>38717</v>
      </c>
      <c r="F1056" s="32">
        <v>350714348.25</v>
      </c>
      <c r="G1056" s="11">
        <v>38717</v>
      </c>
      <c r="H1056" s="90">
        <f>IF(F1056&gt;0,0,"")</f>
        <v>0</v>
      </c>
      <c r="I1056" s="90">
        <f>IF(H1056=0,F1056,"")</f>
        <v>350714348.25</v>
      </c>
      <c r="J1056" s="118" t="str">
        <f>IF(I1056&gt;0,"ATRASADO","")</f>
        <v>ATRASADO</v>
      </c>
    </row>
    <row r="1057" spans="2:10">
      <c r="B1057" s="13"/>
      <c r="C1057" s="19"/>
      <c r="D1057" s="75"/>
      <c r="E1057" s="95"/>
      <c r="F1057" s="77"/>
      <c r="G1057" s="78"/>
    </row>
    <row r="1058" spans="2:10" ht="24.75">
      <c r="B1058" s="13" t="s">
        <v>260</v>
      </c>
      <c r="C1058" s="19" t="s">
        <v>18</v>
      </c>
      <c r="D1058" s="12" t="s">
        <v>18</v>
      </c>
      <c r="E1058" s="11">
        <v>40458</v>
      </c>
      <c r="F1058" s="32">
        <v>7422916.1400000006</v>
      </c>
      <c r="G1058" s="11">
        <v>40458</v>
      </c>
      <c r="H1058" s="90">
        <f>IF(F1058&gt;0,0,"")</f>
        <v>0</v>
      </c>
      <c r="I1058" s="90">
        <f>IF(H1058=0,F1058,"")</f>
        <v>7422916.1400000006</v>
      </c>
      <c r="J1058" s="118" t="str">
        <f>IF(I1058&gt;0,"ATRASADO","")</f>
        <v>ATRASADO</v>
      </c>
    </row>
    <row r="1059" spans="2:10">
      <c r="B1059" s="13"/>
      <c r="C1059" s="19"/>
      <c r="D1059" s="12"/>
      <c r="E1059" s="11"/>
      <c r="F1059" s="32"/>
      <c r="G1059" s="11"/>
    </row>
    <row r="1060" spans="2:10">
      <c r="B1060" s="13" t="s">
        <v>211</v>
      </c>
      <c r="C1060" s="19" t="s">
        <v>207</v>
      </c>
      <c r="D1060" s="35" t="s">
        <v>210</v>
      </c>
      <c r="E1060" s="36">
        <v>40679</v>
      </c>
      <c r="F1060" s="32">
        <v>5340</v>
      </c>
      <c r="G1060" s="36">
        <v>40679</v>
      </c>
      <c r="H1060" s="90">
        <f t="shared" ref="H1060:H1072" si="75">IF(F1060&gt;0,0,"")</f>
        <v>0</v>
      </c>
      <c r="I1060" s="90">
        <f t="shared" ref="I1060:I1072" si="76">IF(H1060=0,F1060,"")</f>
        <v>5340</v>
      </c>
      <c r="J1060" s="118" t="str">
        <f t="shared" ref="J1060:J1072" si="77">IF(I1060&gt;0,"ATRASADO","")</f>
        <v>ATRASADO</v>
      </c>
    </row>
    <row r="1061" spans="2:10">
      <c r="B1061" s="13" t="s">
        <v>211</v>
      </c>
      <c r="C1061" s="19" t="s">
        <v>207</v>
      </c>
      <c r="D1061" s="35" t="s">
        <v>212</v>
      </c>
      <c r="E1061" s="36">
        <v>40679</v>
      </c>
      <c r="F1061" s="32">
        <v>5340</v>
      </c>
      <c r="G1061" s="36">
        <v>40679</v>
      </c>
      <c r="H1061" s="90">
        <f t="shared" si="75"/>
        <v>0</v>
      </c>
      <c r="I1061" s="90">
        <f t="shared" si="76"/>
        <v>5340</v>
      </c>
      <c r="J1061" s="118" t="str">
        <f t="shared" si="77"/>
        <v>ATRASADO</v>
      </c>
    </row>
    <row r="1062" spans="2:10">
      <c r="B1062" s="13" t="s">
        <v>211</v>
      </c>
      <c r="C1062" s="19" t="s">
        <v>207</v>
      </c>
      <c r="D1062" s="35" t="s">
        <v>213</v>
      </c>
      <c r="E1062" s="36">
        <v>40679</v>
      </c>
      <c r="F1062" s="32">
        <v>5340</v>
      </c>
      <c r="G1062" s="36">
        <v>40679</v>
      </c>
      <c r="H1062" s="90">
        <f t="shared" si="75"/>
        <v>0</v>
      </c>
      <c r="I1062" s="90">
        <f t="shared" si="76"/>
        <v>5340</v>
      </c>
      <c r="J1062" s="118" t="str">
        <f t="shared" si="77"/>
        <v>ATRASADO</v>
      </c>
    </row>
    <row r="1063" spans="2:10">
      <c r="B1063" s="13" t="s">
        <v>211</v>
      </c>
      <c r="C1063" s="19" t="s">
        <v>207</v>
      </c>
      <c r="D1063" s="35" t="s">
        <v>214</v>
      </c>
      <c r="E1063" s="36">
        <v>40679</v>
      </c>
      <c r="F1063" s="32">
        <v>5340</v>
      </c>
      <c r="G1063" s="36">
        <v>40679</v>
      </c>
      <c r="H1063" s="90">
        <f t="shared" si="75"/>
        <v>0</v>
      </c>
      <c r="I1063" s="90">
        <f t="shared" si="76"/>
        <v>5340</v>
      </c>
      <c r="J1063" s="118" t="str">
        <f t="shared" si="77"/>
        <v>ATRASADO</v>
      </c>
    </row>
    <row r="1064" spans="2:10">
      <c r="B1064" s="13" t="s">
        <v>211</v>
      </c>
      <c r="C1064" s="19" t="s">
        <v>207</v>
      </c>
      <c r="D1064" s="35" t="s">
        <v>215</v>
      </c>
      <c r="E1064" s="36">
        <v>40679</v>
      </c>
      <c r="F1064" s="32">
        <v>5550</v>
      </c>
      <c r="G1064" s="36">
        <v>40679</v>
      </c>
      <c r="H1064" s="90">
        <f t="shared" si="75"/>
        <v>0</v>
      </c>
      <c r="I1064" s="90">
        <f t="shared" si="76"/>
        <v>5550</v>
      </c>
      <c r="J1064" s="118" t="str">
        <f t="shared" si="77"/>
        <v>ATRASADO</v>
      </c>
    </row>
    <row r="1065" spans="2:10">
      <c r="B1065" s="13" t="s">
        <v>211</v>
      </c>
      <c r="C1065" s="19" t="s">
        <v>207</v>
      </c>
      <c r="D1065" s="35" t="s">
        <v>216</v>
      </c>
      <c r="E1065" s="36">
        <v>40809</v>
      </c>
      <c r="F1065" s="32">
        <v>5250</v>
      </c>
      <c r="G1065" s="36">
        <v>40809</v>
      </c>
      <c r="H1065" s="90">
        <f t="shared" si="75"/>
        <v>0</v>
      </c>
      <c r="I1065" s="90">
        <f t="shared" si="76"/>
        <v>5250</v>
      </c>
      <c r="J1065" s="118" t="str">
        <f t="shared" si="77"/>
        <v>ATRASADO</v>
      </c>
    </row>
    <row r="1066" spans="2:10">
      <c r="B1066" s="13" t="s">
        <v>211</v>
      </c>
      <c r="C1066" s="19" t="s">
        <v>207</v>
      </c>
      <c r="D1066" s="35" t="s">
        <v>217</v>
      </c>
      <c r="E1066" s="36">
        <v>40809</v>
      </c>
      <c r="F1066" s="32">
        <v>5250</v>
      </c>
      <c r="G1066" s="36">
        <v>40809</v>
      </c>
      <c r="H1066" s="90">
        <f t="shared" si="75"/>
        <v>0</v>
      </c>
      <c r="I1066" s="90">
        <f t="shared" si="76"/>
        <v>5250</v>
      </c>
      <c r="J1066" s="118" t="str">
        <f t="shared" si="77"/>
        <v>ATRASADO</v>
      </c>
    </row>
    <row r="1067" spans="2:10">
      <c r="B1067" s="13" t="s">
        <v>211</v>
      </c>
      <c r="C1067" s="19" t="s">
        <v>207</v>
      </c>
      <c r="D1067" s="35" t="s">
        <v>218</v>
      </c>
      <c r="E1067" s="36">
        <v>40809</v>
      </c>
      <c r="F1067" s="32">
        <v>5250</v>
      </c>
      <c r="G1067" s="36">
        <v>40809</v>
      </c>
      <c r="H1067" s="90">
        <f t="shared" si="75"/>
        <v>0</v>
      </c>
      <c r="I1067" s="90">
        <f t="shared" si="76"/>
        <v>5250</v>
      </c>
      <c r="J1067" s="118" t="str">
        <f t="shared" si="77"/>
        <v>ATRASADO</v>
      </c>
    </row>
    <row r="1068" spans="2:10">
      <c r="B1068" s="13" t="s">
        <v>211</v>
      </c>
      <c r="C1068" s="19" t="s">
        <v>207</v>
      </c>
      <c r="D1068" s="35" t="s">
        <v>219</v>
      </c>
      <c r="E1068" s="36">
        <v>40809</v>
      </c>
      <c r="F1068" s="32">
        <v>5250</v>
      </c>
      <c r="G1068" s="36">
        <v>40809</v>
      </c>
      <c r="H1068" s="90">
        <f t="shared" si="75"/>
        <v>0</v>
      </c>
      <c r="I1068" s="90">
        <f t="shared" si="76"/>
        <v>5250</v>
      </c>
      <c r="J1068" s="118" t="str">
        <f t="shared" si="77"/>
        <v>ATRASADO</v>
      </c>
    </row>
    <row r="1069" spans="2:10">
      <c r="B1069" s="13" t="s">
        <v>211</v>
      </c>
      <c r="C1069" s="19" t="s">
        <v>207</v>
      </c>
      <c r="D1069" s="35" t="s">
        <v>220</v>
      </c>
      <c r="E1069" s="36">
        <v>40833</v>
      </c>
      <c r="F1069" s="32">
        <v>5250</v>
      </c>
      <c r="G1069" s="36">
        <v>40833</v>
      </c>
      <c r="H1069" s="90">
        <f t="shared" si="75"/>
        <v>0</v>
      </c>
      <c r="I1069" s="90">
        <f t="shared" si="76"/>
        <v>5250</v>
      </c>
      <c r="J1069" s="118" t="str">
        <f t="shared" si="77"/>
        <v>ATRASADO</v>
      </c>
    </row>
    <row r="1070" spans="2:10">
      <c r="B1070" s="13" t="s">
        <v>211</v>
      </c>
      <c r="C1070" s="19" t="s">
        <v>207</v>
      </c>
      <c r="D1070" s="35" t="s">
        <v>221</v>
      </c>
      <c r="E1070" s="36">
        <v>40833</v>
      </c>
      <c r="F1070" s="32">
        <v>5250</v>
      </c>
      <c r="G1070" s="36">
        <v>40833</v>
      </c>
      <c r="H1070" s="90">
        <f t="shared" si="75"/>
        <v>0</v>
      </c>
      <c r="I1070" s="90">
        <f t="shared" si="76"/>
        <v>5250</v>
      </c>
      <c r="J1070" s="118" t="str">
        <f t="shared" si="77"/>
        <v>ATRASADO</v>
      </c>
    </row>
    <row r="1071" spans="2:10">
      <c r="B1071" s="13" t="s">
        <v>211</v>
      </c>
      <c r="C1071" s="19" t="s">
        <v>207</v>
      </c>
      <c r="D1071" s="35" t="s">
        <v>222</v>
      </c>
      <c r="E1071" s="36">
        <v>40833</v>
      </c>
      <c r="F1071" s="32">
        <v>4200</v>
      </c>
      <c r="G1071" s="36">
        <v>40833</v>
      </c>
      <c r="H1071" s="90">
        <f t="shared" si="75"/>
        <v>0</v>
      </c>
      <c r="I1071" s="90">
        <f t="shared" si="76"/>
        <v>4200</v>
      </c>
      <c r="J1071" s="118" t="str">
        <f t="shared" si="77"/>
        <v>ATRASADO</v>
      </c>
    </row>
    <row r="1072" spans="2:10">
      <c r="B1072" s="13" t="s">
        <v>211</v>
      </c>
      <c r="C1072" s="19" t="s">
        <v>207</v>
      </c>
      <c r="D1072" s="35" t="s">
        <v>223</v>
      </c>
      <c r="E1072" s="36">
        <v>40833</v>
      </c>
      <c r="F1072" s="32">
        <v>4322.1499999999996</v>
      </c>
      <c r="G1072" s="36">
        <v>40833</v>
      </c>
      <c r="H1072" s="90">
        <f t="shared" si="75"/>
        <v>0</v>
      </c>
      <c r="I1072" s="90">
        <f t="shared" si="76"/>
        <v>4322.1499999999996</v>
      </c>
      <c r="J1072" s="118" t="str">
        <f t="shared" si="77"/>
        <v>ATRASADO</v>
      </c>
    </row>
    <row r="1073" spans="2:10">
      <c r="B1073" s="13"/>
      <c r="C1073" s="19"/>
      <c r="D1073" s="35"/>
      <c r="E1073" s="36"/>
      <c r="F1073" s="32"/>
      <c r="G1073" s="36"/>
    </row>
    <row r="1074" spans="2:10">
      <c r="B1074" s="13" t="s">
        <v>402</v>
      </c>
      <c r="C1074" s="19" t="s">
        <v>403</v>
      </c>
      <c r="D1074" s="12" t="s">
        <v>401</v>
      </c>
      <c r="E1074" s="36">
        <v>40652</v>
      </c>
      <c r="F1074" s="32">
        <v>14784</v>
      </c>
      <c r="G1074" s="36">
        <v>40652</v>
      </c>
      <c r="H1074" s="90">
        <f t="shared" ref="H1074:H1083" si="78">IF(F1074&gt;0,0,"")</f>
        <v>0</v>
      </c>
      <c r="I1074" s="90">
        <f t="shared" ref="I1074:I1083" si="79">IF(H1074=0,F1074,"")</f>
        <v>14784</v>
      </c>
      <c r="J1074" s="118" t="str">
        <f t="shared" ref="J1074:J1083" si="80">IF(I1074&gt;0,"ATRASADO","")</f>
        <v>ATRASADO</v>
      </c>
    </row>
    <row r="1075" spans="2:10">
      <c r="B1075" s="13" t="s">
        <v>402</v>
      </c>
      <c r="C1075" s="19" t="s">
        <v>403</v>
      </c>
      <c r="D1075" s="12" t="s">
        <v>404</v>
      </c>
      <c r="E1075" s="36">
        <v>40652</v>
      </c>
      <c r="F1075" s="32">
        <v>6784</v>
      </c>
      <c r="G1075" s="36">
        <v>40652</v>
      </c>
      <c r="H1075" s="90">
        <f t="shared" si="78"/>
        <v>0</v>
      </c>
      <c r="I1075" s="90">
        <f t="shared" si="79"/>
        <v>6784</v>
      </c>
      <c r="J1075" s="118" t="str">
        <f t="shared" si="80"/>
        <v>ATRASADO</v>
      </c>
    </row>
    <row r="1076" spans="2:10">
      <c r="B1076" s="13" t="s">
        <v>402</v>
      </c>
      <c r="C1076" s="19" t="s">
        <v>433</v>
      </c>
      <c r="D1076" s="12">
        <v>1501547576</v>
      </c>
      <c r="E1076" s="10">
        <v>40910</v>
      </c>
      <c r="F1076" s="32">
        <v>21576</v>
      </c>
      <c r="G1076" s="36">
        <v>40910</v>
      </c>
      <c r="H1076" s="90">
        <f t="shared" si="78"/>
        <v>0</v>
      </c>
      <c r="I1076" s="90">
        <f t="shared" si="79"/>
        <v>21576</v>
      </c>
      <c r="J1076" s="118" t="str">
        <f t="shared" si="80"/>
        <v>ATRASADO</v>
      </c>
    </row>
    <row r="1077" spans="2:10">
      <c r="B1077" s="13" t="s">
        <v>402</v>
      </c>
      <c r="C1077" s="19" t="s">
        <v>433</v>
      </c>
      <c r="D1077" s="12">
        <v>1501547577</v>
      </c>
      <c r="E1077" s="10">
        <v>40910</v>
      </c>
      <c r="F1077" s="32">
        <v>21576</v>
      </c>
      <c r="G1077" s="36">
        <v>40910</v>
      </c>
      <c r="H1077" s="90">
        <f t="shared" si="78"/>
        <v>0</v>
      </c>
      <c r="I1077" s="90">
        <f t="shared" si="79"/>
        <v>21576</v>
      </c>
      <c r="J1077" s="118" t="str">
        <f t="shared" si="80"/>
        <v>ATRASADO</v>
      </c>
    </row>
    <row r="1078" spans="2:10">
      <c r="B1078" s="13" t="s">
        <v>402</v>
      </c>
      <c r="C1078" s="19" t="s">
        <v>433</v>
      </c>
      <c r="D1078" s="12">
        <v>1501547578</v>
      </c>
      <c r="E1078" s="10">
        <v>40910</v>
      </c>
      <c r="F1078" s="32">
        <v>21576</v>
      </c>
      <c r="G1078" s="36">
        <v>40910</v>
      </c>
      <c r="H1078" s="90">
        <f t="shared" si="78"/>
        <v>0</v>
      </c>
      <c r="I1078" s="90">
        <f t="shared" si="79"/>
        <v>21576</v>
      </c>
      <c r="J1078" s="118" t="str">
        <f t="shared" si="80"/>
        <v>ATRASADO</v>
      </c>
    </row>
    <row r="1079" spans="2:10">
      <c r="B1079" s="13" t="s">
        <v>402</v>
      </c>
      <c r="C1079" s="19" t="s">
        <v>433</v>
      </c>
      <c r="D1079" s="12">
        <v>1501547579</v>
      </c>
      <c r="E1079" s="10">
        <v>40910</v>
      </c>
      <c r="F1079" s="32">
        <v>21576</v>
      </c>
      <c r="G1079" s="36">
        <v>40910</v>
      </c>
      <c r="H1079" s="90">
        <f t="shared" si="78"/>
        <v>0</v>
      </c>
      <c r="I1079" s="90">
        <f t="shared" si="79"/>
        <v>21576</v>
      </c>
      <c r="J1079" s="118" t="str">
        <f t="shared" si="80"/>
        <v>ATRASADO</v>
      </c>
    </row>
    <row r="1080" spans="2:10">
      <c r="B1080" s="13" t="s">
        <v>402</v>
      </c>
      <c r="C1080" s="19" t="s">
        <v>433</v>
      </c>
      <c r="D1080" s="12">
        <v>1501547572</v>
      </c>
      <c r="E1080" s="10">
        <v>40918</v>
      </c>
      <c r="F1080" s="32">
        <v>20088</v>
      </c>
      <c r="G1080" s="36">
        <v>40918</v>
      </c>
      <c r="H1080" s="90">
        <f t="shared" si="78"/>
        <v>0</v>
      </c>
      <c r="I1080" s="90">
        <f t="shared" si="79"/>
        <v>20088</v>
      </c>
      <c r="J1080" s="118" t="str">
        <f t="shared" si="80"/>
        <v>ATRASADO</v>
      </c>
    </row>
    <row r="1081" spans="2:10">
      <c r="B1081" s="13" t="s">
        <v>402</v>
      </c>
      <c r="C1081" s="19" t="s">
        <v>433</v>
      </c>
      <c r="D1081" s="12">
        <v>1501547573</v>
      </c>
      <c r="E1081" s="10">
        <v>40918</v>
      </c>
      <c r="F1081" s="32">
        <v>20088</v>
      </c>
      <c r="G1081" s="36">
        <v>40918</v>
      </c>
      <c r="H1081" s="90">
        <f t="shared" si="78"/>
        <v>0</v>
      </c>
      <c r="I1081" s="90">
        <f t="shared" si="79"/>
        <v>20088</v>
      </c>
      <c r="J1081" s="118" t="str">
        <f t="shared" si="80"/>
        <v>ATRASADO</v>
      </c>
    </row>
    <row r="1082" spans="2:10">
      <c r="B1082" s="13" t="s">
        <v>402</v>
      </c>
      <c r="C1082" s="19" t="s">
        <v>433</v>
      </c>
      <c r="D1082" s="12">
        <v>1501547574</v>
      </c>
      <c r="E1082" s="10">
        <v>40918</v>
      </c>
      <c r="F1082" s="32">
        <v>20088</v>
      </c>
      <c r="G1082" s="36">
        <v>40918</v>
      </c>
      <c r="H1082" s="90">
        <f t="shared" si="78"/>
        <v>0</v>
      </c>
      <c r="I1082" s="90">
        <f t="shared" si="79"/>
        <v>20088</v>
      </c>
      <c r="J1082" s="118" t="str">
        <f t="shared" si="80"/>
        <v>ATRASADO</v>
      </c>
    </row>
    <row r="1083" spans="2:10">
      <c r="B1083" s="13" t="s">
        <v>402</v>
      </c>
      <c r="C1083" s="19" t="s">
        <v>433</v>
      </c>
      <c r="D1083" s="12">
        <v>1501547575</v>
      </c>
      <c r="E1083" s="10">
        <v>40918</v>
      </c>
      <c r="F1083" s="32">
        <v>31088</v>
      </c>
      <c r="G1083" s="36">
        <v>40918</v>
      </c>
      <c r="H1083" s="90">
        <f t="shared" si="78"/>
        <v>0</v>
      </c>
      <c r="I1083" s="90">
        <f t="shared" si="79"/>
        <v>31088</v>
      </c>
      <c r="J1083" s="118" t="str">
        <f t="shared" si="80"/>
        <v>ATRASADO</v>
      </c>
    </row>
    <row r="1084" spans="2:10">
      <c r="B1084" s="13"/>
      <c r="C1084" s="19"/>
      <c r="D1084" s="12"/>
      <c r="E1084" s="10"/>
      <c r="F1084" s="32"/>
      <c r="G1084" s="36"/>
    </row>
    <row r="1085" spans="2:10" ht="24.75">
      <c r="B1085" s="13" t="s">
        <v>249</v>
      </c>
      <c r="C1085" s="19" t="s">
        <v>250</v>
      </c>
      <c r="D1085" s="18" t="s">
        <v>252</v>
      </c>
      <c r="E1085" s="11">
        <v>40543</v>
      </c>
      <c r="F1085" s="32">
        <v>3549870.4</v>
      </c>
      <c r="G1085" s="11">
        <v>40543</v>
      </c>
      <c r="H1085" s="90">
        <f>IF(F1085&gt;0,0,"")</f>
        <v>0</v>
      </c>
      <c r="I1085" s="90">
        <f>IF(H1085=0,F1085,"")</f>
        <v>3549870.4</v>
      </c>
      <c r="J1085" s="118" t="str">
        <f>IF(I1085&gt;0,"ATRASADO","")</f>
        <v>ATRASADO</v>
      </c>
    </row>
    <row r="1086" spans="2:10">
      <c r="B1086" s="13"/>
      <c r="C1086" s="19"/>
      <c r="D1086" s="18"/>
      <c r="E1086" s="11"/>
      <c r="F1086" s="32"/>
      <c r="G1086" s="11"/>
    </row>
    <row r="1087" spans="2:10" ht="24.75">
      <c r="B1087" s="13" t="s">
        <v>504</v>
      </c>
      <c r="C1087" s="19" t="s">
        <v>102</v>
      </c>
      <c r="D1087" s="12" t="s">
        <v>505</v>
      </c>
      <c r="E1087" s="36">
        <v>40543</v>
      </c>
      <c r="F1087" s="32">
        <v>232000</v>
      </c>
      <c r="G1087" s="36">
        <v>40543</v>
      </c>
      <c r="H1087" s="90">
        <f>IF(F1087&gt;0,0,"")</f>
        <v>0</v>
      </c>
      <c r="I1087" s="90">
        <f>IF(H1087=0,F1087,"")</f>
        <v>232000</v>
      </c>
      <c r="J1087" s="118" t="str">
        <f>IF(I1087&gt;0,"ATRASADO","")</f>
        <v>ATRASADO</v>
      </c>
    </row>
    <row r="1088" spans="2:10" ht="24.75">
      <c r="B1088" s="13" t="s">
        <v>504</v>
      </c>
      <c r="C1088" s="19" t="s">
        <v>102</v>
      </c>
      <c r="D1088" s="12" t="s">
        <v>506</v>
      </c>
      <c r="E1088" s="36">
        <v>39917</v>
      </c>
      <c r="F1088" s="32">
        <v>109400</v>
      </c>
      <c r="G1088" s="36">
        <v>39917</v>
      </c>
      <c r="H1088" s="90">
        <f>IF(F1088&gt;0,0,"")</f>
        <v>0</v>
      </c>
      <c r="I1088" s="90">
        <f>IF(H1088=0,F1088,"")</f>
        <v>109400</v>
      </c>
      <c r="J1088" s="118" t="str">
        <f>IF(I1088&gt;0,"ATRASADO","")</f>
        <v>ATRASADO</v>
      </c>
    </row>
    <row r="1089" spans="2:10" ht="24.75">
      <c r="B1089" s="13" t="s">
        <v>504</v>
      </c>
      <c r="C1089" s="19" t="s">
        <v>102</v>
      </c>
      <c r="D1089" s="12" t="s">
        <v>507</v>
      </c>
      <c r="E1089" s="36">
        <v>40463</v>
      </c>
      <c r="F1089" s="32">
        <v>36818.400000000001</v>
      </c>
      <c r="G1089" s="36">
        <v>40463</v>
      </c>
      <c r="H1089" s="90">
        <f>IF(F1089&gt;0,0,"")</f>
        <v>0</v>
      </c>
      <c r="I1089" s="90">
        <f>IF(H1089=0,F1089,"")</f>
        <v>36818.400000000001</v>
      </c>
      <c r="J1089" s="118" t="str">
        <f>IF(I1089&gt;0,"ATRASADO","")</f>
        <v>ATRASADO</v>
      </c>
    </row>
    <row r="1090" spans="2:10">
      <c r="B1090" s="13"/>
      <c r="C1090" s="19"/>
      <c r="D1090" s="35"/>
      <c r="E1090" s="36"/>
      <c r="F1090" s="32"/>
      <c r="G1090" s="36"/>
    </row>
    <row r="1091" spans="2:10">
      <c r="B1091" s="13" t="s">
        <v>406</v>
      </c>
      <c r="C1091" s="19" t="s">
        <v>398</v>
      </c>
      <c r="D1091" s="35" t="s">
        <v>405</v>
      </c>
      <c r="E1091" s="36">
        <v>40899</v>
      </c>
      <c r="F1091" s="32">
        <v>97758.55</v>
      </c>
      <c r="G1091" s="36">
        <v>40899</v>
      </c>
      <c r="H1091" s="90">
        <f t="shared" ref="H1091:H1096" si="81">IF(F1091&gt;0,0,"")</f>
        <v>0</v>
      </c>
      <c r="I1091" s="90">
        <f t="shared" ref="I1091:I1096" si="82">IF(H1091=0,F1091,"")</f>
        <v>97758.55</v>
      </c>
      <c r="J1091" s="118" t="str">
        <f t="shared" ref="J1091:J1096" si="83">IF(I1091&gt;0,"ATRASADO","")</f>
        <v>ATRASADO</v>
      </c>
    </row>
    <row r="1092" spans="2:10">
      <c r="B1092" s="13" t="s">
        <v>406</v>
      </c>
      <c r="C1092" s="19" t="s">
        <v>398</v>
      </c>
      <c r="D1092" s="35" t="s">
        <v>464</v>
      </c>
      <c r="E1092" s="36">
        <v>40872</v>
      </c>
      <c r="F1092" s="32">
        <v>47347.15</v>
      </c>
      <c r="G1092" s="36">
        <v>40899</v>
      </c>
      <c r="H1092" s="90">
        <f t="shared" si="81"/>
        <v>0</v>
      </c>
      <c r="I1092" s="90">
        <f t="shared" si="82"/>
        <v>47347.15</v>
      </c>
      <c r="J1092" s="118" t="str">
        <f t="shared" si="83"/>
        <v>ATRASADO</v>
      </c>
    </row>
    <row r="1093" spans="2:10">
      <c r="B1093" s="13" t="s">
        <v>406</v>
      </c>
      <c r="C1093" s="19" t="s">
        <v>398</v>
      </c>
      <c r="D1093" s="35" t="s">
        <v>407</v>
      </c>
      <c r="E1093" s="36">
        <v>40857</v>
      </c>
      <c r="F1093" s="32">
        <v>64947.79</v>
      </c>
      <c r="G1093" s="36">
        <v>40857</v>
      </c>
      <c r="H1093" s="90">
        <f t="shared" si="81"/>
        <v>0</v>
      </c>
      <c r="I1093" s="90">
        <f t="shared" si="82"/>
        <v>64947.79</v>
      </c>
      <c r="J1093" s="118" t="str">
        <f t="shared" si="83"/>
        <v>ATRASADO</v>
      </c>
    </row>
    <row r="1094" spans="2:10">
      <c r="B1094" s="13" t="s">
        <v>406</v>
      </c>
      <c r="C1094" s="19" t="s">
        <v>398</v>
      </c>
      <c r="D1094" s="35" t="s">
        <v>408</v>
      </c>
      <c r="E1094" s="36">
        <v>40841</v>
      </c>
      <c r="F1094" s="32">
        <v>63752.53</v>
      </c>
      <c r="G1094" s="36">
        <v>40841</v>
      </c>
      <c r="H1094" s="90">
        <f t="shared" si="81"/>
        <v>0</v>
      </c>
      <c r="I1094" s="90">
        <f t="shared" si="82"/>
        <v>63752.53</v>
      </c>
      <c r="J1094" s="118" t="str">
        <f t="shared" si="83"/>
        <v>ATRASADO</v>
      </c>
    </row>
    <row r="1095" spans="2:10" s="14" customFormat="1">
      <c r="B1095" s="13" t="s">
        <v>406</v>
      </c>
      <c r="C1095" s="19" t="s">
        <v>398</v>
      </c>
      <c r="D1095" s="35" t="s">
        <v>409</v>
      </c>
      <c r="E1095" s="36">
        <v>40796</v>
      </c>
      <c r="F1095" s="32">
        <v>63723.519999999997</v>
      </c>
      <c r="G1095" s="36">
        <v>40796</v>
      </c>
      <c r="H1095" s="90">
        <f t="shared" si="81"/>
        <v>0</v>
      </c>
      <c r="I1095" s="90">
        <f t="shared" si="82"/>
        <v>63723.519999999997</v>
      </c>
      <c r="J1095" s="118" t="str">
        <f t="shared" si="83"/>
        <v>ATRASADO</v>
      </c>
    </row>
    <row r="1096" spans="2:10">
      <c r="B1096" s="13" t="s">
        <v>406</v>
      </c>
      <c r="C1096" s="19" t="s">
        <v>398</v>
      </c>
      <c r="D1096" s="35" t="s">
        <v>410</v>
      </c>
      <c r="E1096" s="36">
        <v>40826</v>
      </c>
      <c r="F1096" s="32">
        <v>14142.43</v>
      </c>
      <c r="G1096" s="36">
        <v>40826</v>
      </c>
      <c r="H1096" s="90">
        <f t="shared" si="81"/>
        <v>0</v>
      </c>
      <c r="I1096" s="90">
        <f t="shared" si="82"/>
        <v>14142.43</v>
      </c>
      <c r="J1096" s="118" t="str">
        <f t="shared" si="83"/>
        <v>ATRASADO</v>
      </c>
    </row>
    <row r="1097" spans="2:10">
      <c r="B1097" s="13"/>
      <c r="C1097" s="19"/>
      <c r="D1097" s="35"/>
      <c r="E1097" s="36"/>
      <c r="F1097" s="32"/>
      <c r="G1097" s="36"/>
    </row>
    <row r="1098" spans="2:10">
      <c r="B1098" s="13" t="s">
        <v>285</v>
      </c>
      <c r="C1098" s="19" t="s">
        <v>6</v>
      </c>
      <c r="D1098" s="21" t="s">
        <v>255</v>
      </c>
      <c r="E1098" s="11" t="s">
        <v>286</v>
      </c>
      <c r="F1098" s="32">
        <v>37800</v>
      </c>
      <c r="G1098" s="11" t="s">
        <v>286</v>
      </c>
      <c r="H1098" s="90">
        <f>IF(F1098&gt;0,0,"")</f>
        <v>0</v>
      </c>
      <c r="I1098" s="90">
        <f>IF(H1098=0,F1098,"")</f>
        <v>37800</v>
      </c>
      <c r="J1098" s="118" t="str">
        <f>IF(I1098&gt;0,"ATRASADO","")</f>
        <v>ATRASADO</v>
      </c>
    </row>
    <row r="1099" spans="2:10">
      <c r="B1099" s="13" t="s">
        <v>285</v>
      </c>
      <c r="C1099" s="19" t="s">
        <v>6</v>
      </c>
      <c r="D1099" s="21" t="s">
        <v>258</v>
      </c>
      <c r="E1099" s="11">
        <v>40359</v>
      </c>
      <c r="F1099" s="32">
        <v>39600</v>
      </c>
      <c r="G1099" s="11">
        <v>40359</v>
      </c>
      <c r="H1099" s="90">
        <f>IF(F1099&gt;0,0,"")</f>
        <v>0</v>
      </c>
      <c r="I1099" s="90">
        <f>IF(H1099=0,F1099,"")</f>
        <v>39600</v>
      </c>
      <c r="J1099" s="118" t="str">
        <f>IF(I1099&gt;0,"ATRASADO","")</f>
        <v>ATRASADO</v>
      </c>
    </row>
    <row r="1100" spans="2:10">
      <c r="B1100" s="13" t="s">
        <v>285</v>
      </c>
      <c r="C1100" s="19" t="s">
        <v>6</v>
      </c>
      <c r="D1100" s="21" t="s">
        <v>259</v>
      </c>
      <c r="E1100" s="11">
        <v>40390</v>
      </c>
      <c r="F1100" s="32">
        <v>14400</v>
      </c>
      <c r="G1100" s="11">
        <v>40390</v>
      </c>
      <c r="H1100" s="90">
        <f>IF(F1100&gt;0,0,"")</f>
        <v>0</v>
      </c>
      <c r="I1100" s="90">
        <f>IF(H1100=0,F1100,"")</f>
        <v>14400</v>
      </c>
      <c r="J1100" s="118" t="str">
        <f>IF(I1100&gt;0,"ATRASADO","")</f>
        <v>ATRASADO</v>
      </c>
    </row>
    <row r="1101" spans="2:10">
      <c r="B1101" s="13"/>
      <c r="C1101" s="19"/>
      <c r="D1101" s="21"/>
      <c r="E1101" s="11"/>
      <c r="F1101" s="32"/>
      <c r="G1101" s="11"/>
    </row>
    <row r="1102" spans="2:10">
      <c r="B1102" s="13" t="s">
        <v>412</v>
      </c>
      <c r="C1102" s="19" t="s">
        <v>138</v>
      </c>
      <c r="D1102" s="35" t="s">
        <v>411</v>
      </c>
      <c r="E1102" s="36">
        <v>40847</v>
      </c>
      <c r="F1102" s="32">
        <v>38104.33</v>
      </c>
      <c r="G1102" s="36">
        <v>40847</v>
      </c>
      <c r="H1102" s="90">
        <f>IF(F1102&gt;0,0,"")</f>
        <v>0</v>
      </c>
      <c r="I1102" s="90">
        <f>IF(H1102=0,F1102,"")</f>
        <v>38104.33</v>
      </c>
      <c r="J1102" s="118" t="str">
        <f>IF(I1102&gt;0,"ATRASADO","")</f>
        <v>ATRASADO</v>
      </c>
    </row>
    <row r="1103" spans="2:10">
      <c r="B1103" s="13"/>
      <c r="C1103" s="19"/>
      <c r="D1103" s="35"/>
      <c r="E1103" s="36"/>
      <c r="F1103" s="32"/>
      <c r="G1103" s="36"/>
    </row>
    <row r="1104" spans="2:10">
      <c r="B1104" s="13" t="s">
        <v>508</v>
      </c>
      <c r="C1104" s="19" t="s">
        <v>134</v>
      </c>
      <c r="D1104" s="35" t="s">
        <v>509</v>
      </c>
      <c r="E1104" s="36">
        <v>40217</v>
      </c>
      <c r="F1104" s="32">
        <v>252250</v>
      </c>
      <c r="G1104" s="36">
        <v>40217</v>
      </c>
      <c r="H1104" s="90">
        <f>IF(F1104&gt;0,0,"")</f>
        <v>0</v>
      </c>
      <c r="I1104" s="90">
        <f>IF(H1104=0,F1104,"")</f>
        <v>252250</v>
      </c>
      <c r="J1104" s="118" t="str">
        <f>IF(I1104&gt;0,"ATRASADO","")</f>
        <v>ATRASADO</v>
      </c>
    </row>
    <row r="1105" spans="2:10">
      <c r="B1105" s="13"/>
      <c r="C1105" s="19"/>
      <c r="D1105" s="35"/>
      <c r="E1105" s="36"/>
      <c r="F1105" s="32"/>
      <c r="G1105" s="36"/>
    </row>
    <row r="1106" spans="2:10">
      <c r="B1106" s="13" t="s">
        <v>558</v>
      </c>
      <c r="C1106" s="19" t="s">
        <v>561</v>
      </c>
      <c r="D1106" s="35" t="s">
        <v>559</v>
      </c>
      <c r="E1106" s="36">
        <v>40283</v>
      </c>
      <c r="F1106" s="32">
        <v>22953</v>
      </c>
      <c r="G1106" s="36">
        <v>40283</v>
      </c>
      <c r="H1106" s="90">
        <f>IF(F1106&gt;0,0,"")</f>
        <v>0</v>
      </c>
      <c r="I1106" s="90">
        <f>IF(H1106=0,F1106,"")</f>
        <v>22953</v>
      </c>
      <c r="J1106" s="118" t="str">
        <f>IF(I1106&gt;0,"ATRASADO","")</f>
        <v>ATRASADO</v>
      </c>
    </row>
    <row r="1107" spans="2:10">
      <c r="B1107" s="13" t="s">
        <v>558</v>
      </c>
      <c r="C1107" s="19" t="s">
        <v>561</v>
      </c>
      <c r="D1107" s="35" t="s">
        <v>560</v>
      </c>
      <c r="E1107" s="36">
        <v>40333</v>
      </c>
      <c r="F1107" s="32">
        <v>7047</v>
      </c>
      <c r="G1107" s="36">
        <v>40333</v>
      </c>
      <c r="H1107" s="90">
        <f>IF(F1107&gt;0,0,"")</f>
        <v>0</v>
      </c>
      <c r="I1107" s="90">
        <f>IF(H1107=0,F1107,"")</f>
        <v>7047</v>
      </c>
      <c r="J1107" s="118" t="str">
        <f>IF(I1107&gt;0,"ATRASADO","")</f>
        <v>ATRASADO</v>
      </c>
    </row>
    <row r="1108" spans="2:10">
      <c r="B1108" s="13"/>
      <c r="C1108" s="19"/>
      <c r="D1108" s="35"/>
      <c r="E1108" s="36"/>
      <c r="F1108" s="32"/>
      <c r="G1108" s="36"/>
    </row>
    <row r="1109" spans="2:10" ht="24.75">
      <c r="B1109" s="13" t="s">
        <v>414</v>
      </c>
      <c r="C1109" s="19" t="s">
        <v>415</v>
      </c>
      <c r="D1109" s="35" t="s">
        <v>413</v>
      </c>
      <c r="E1109" s="36">
        <v>40754</v>
      </c>
      <c r="F1109" s="32">
        <v>30000</v>
      </c>
      <c r="G1109" s="36">
        <v>40754</v>
      </c>
      <c r="H1109" s="90">
        <f>IF(F1109&gt;0,0,"")</f>
        <v>0</v>
      </c>
      <c r="I1109" s="90">
        <f>IF(H1109=0,F1109,"")</f>
        <v>30000</v>
      </c>
      <c r="J1109" s="118" t="str">
        <f>IF(I1109&gt;0,"ATRASADO","")</f>
        <v>ATRASADO</v>
      </c>
    </row>
    <row r="1110" spans="2:10">
      <c r="B1110" s="13"/>
      <c r="C1110" s="19"/>
      <c r="D1110" s="35"/>
      <c r="E1110" s="36"/>
      <c r="F1110" s="32"/>
      <c r="G1110" s="36"/>
    </row>
    <row r="1111" spans="2:10">
      <c r="B1111" s="13" t="s">
        <v>287</v>
      </c>
      <c r="C1111" s="19" t="s">
        <v>6</v>
      </c>
      <c r="D1111" s="21" t="s">
        <v>258</v>
      </c>
      <c r="E1111" s="11">
        <v>40359</v>
      </c>
      <c r="F1111" s="32">
        <v>48400</v>
      </c>
      <c r="G1111" s="11">
        <v>40359</v>
      </c>
      <c r="H1111" s="90">
        <f>IF(F1111&gt;0,0,"")</f>
        <v>0</v>
      </c>
      <c r="I1111" s="90">
        <f>IF(H1111=0,F1111,"")</f>
        <v>48400</v>
      </c>
      <c r="J1111" s="118" t="str">
        <f>IF(I1111&gt;0,"ATRASADO","")</f>
        <v>ATRASADO</v>
      </c>
    </row>
    <row r="1112" spans="2:10">
      <c r="B1112" s="13" t="s">
        <v>287</v>
      </c>
      <c r="C1112" s="19" t="s">
        <v>6</v>
      </c>
      <c r="D1112" s="21" t="s">
        <v>259</v>
      </c>
      <c r="E1112" s="11">
        <v>40390</v>
      </c>
      <c r="F1112" s="32">
        <v>17600</v>
      </c>
      <c r="G1112" s="11">
        <v>40390</v>
      </c>
      <c r="H1112" s="90">
        <f>IF(F1112&gt;0,0,"")</f>
        <v>0</v>
      </c>
      <c r="I1112" s="90">
        <f>IF(H1112=0,F1112,"")</f>
        <v>17600</v>
      </c>
      <c r="J1112" s="118" t="str">
        <f>IF(I1112&gt;0,"ATRASADO","")</f>
        <v>ATRASADO</v>
      </c>
    </row>
    <row r="1113" spans="2:10">
      <c r="B1113" s="13"/>
      <c r="C1113" s="19"/>
      <c r="D1113" s="21"/>
      <c r="E1113" s="11"/>
      <c r="F1113" s="32"/>
      <c r="G1113" s="11"/>
    </row>
    <row r="1114" spans="2:10">
      <c r="B1114" s="13" t="s">
        <v>224</v>
      </c>
      <c r="C1114" s="19" t="s">
        <v>207</v>
      </c>
      <c r="D1114" s="16">
        <v>236706</v>
      </c>
      <c r="E1114" s="10">
        <v>38668</v>
      </c>
      <c r="F1114" s="32">
        <v>897741.4</v>
      </c>
      <c r="G1114" s="10">
        <v>38668</v>
      </c>
      <c r="H1114" s="90">
        <f>IF(F1114&gt;0,0,"")</f>
        <v>0</v>
      </c>
      <c r="I1114" s="90">
        <f>IF(H1114=0,F1114,"")</f>
        <v>897741.4</v>
      </c>
      <c r="J1114" s="118" t="str">
        <f>IF(I1114&gt;0,"ATRASADO","")</f>
        <v>ATRASADO</v>
      </c>
    </row>
    <row r="1115" spans="2:10">
      <c r="B1115" s="13" t="s">
        <v>224</v>
      </c>
      <c r="C1115" s="19" t="s">
        <v>207</v>
      </c>
      <c r="D1115" s="16">
        <v>236970</v>
      </c>
      <c r="E1115" s="10">
        <v>38674</v>
      </c>
      <c r="F1115" s="32">
        <v>418841.2</v>
      </c>
      <c r="G1115" s="10">
        <v>38674</v>
      </c>
      <c r="H1115" s="90">
        <f>IF(F1115&gt;0,0,"")</f>
        <v>0</v>
      </c>
      <c r="I1115" s="90">
        <f>IF(H1115=0,F1115,"")</f>
        <v>418841.2</v>
      </c>
      <c r="J1115" s="118" t="str">
        <f>IF(I1115&gt;0,"ATRASADO","")</f>
        <v>ATRASADO</v>
      </c>
    </row>
    <row r="1116" spans="2:10">
      <c r="B1116" s="13"/>
      <c r="C1116" s="19"/>
      <c r="D1116" s="16"/>
      <c r="E1116" s="10"/>
      <c r="F1116" s="32"/>
      <c r="G1116" s="10"/>
    </row>
    <row r="1117" spans="2:10">
      <c r="B1117" s="13" t="s">
        <v>476</v>
      </c>
      <c r="C1117" s="19" t="s">
        <v>477</v>
      </c>
      <c r="D1117" s="41" t="s">
        <v>443</v>
      </c>
      <c r="E1117" s="11">
        <v>39691</v>
      </c>
      <c r="F1117" s="32">
        <v>4431262</v>
      </c>
      <c r="G1117" s="39">
        <v>39691</v>
      </c>
      <c r="H1117" s="90">
        <f>IF(F1117&gt;0,0,"")</f>
        <v>0</v>
      </c>
      <c r="I1117" s="90">
        <f>IF(H1117=0,F1117,"")</f>
        <v>4431262</v>
      </c>
      <c r="J1117" s="118" t="str">
        <f>IF(I1117&gt;0,"ATRASADO","")</f>
        <v>ATRASADO</v>
      </c>
    </row>
    <row r="1118" spans="2:10">
      <c r="B1118" s="13"/>
      <c r="C1118" s="19"/>
      <c r="D1118" s="41"/>
      <c r="E1118" s="11"/>
      <c r="F1118" s="32"/>
      <c r="G1118" s="39"/>
    </row>
    <row r="1119" spans="2:10">
      <c r="B1119" s="13" t="s">
        <v>290</v>
      </c>
      <c r="C1119" s="19" t="s">
        <v>102</v>
      </c>
      <c r="D1119" s="21" t="s">
        <v>447</v>
      </c>
      <c r="E1119" s="11">
        <v>40247</v>
      </c>
      <c r="F1119" s="32">
        <v>23200</v>
      </c>
      <c r="G1119" s="11">
        <v>40280</v>
      </c>
      <c r="H1119" s="90">
        <f t="shared" ref="H1119:H1124" si="84">IF(F1119&gt;0,0,"")</f>
        <v>0</v>
      </c>
      <c r="I1119" s="90">
        <f t="shared" ref="I1119:I1124" si="85">IF(H1119=0,F1119,"")</f>
        <v>23200</v>
      </c>
      <c r="J1119" s="118" t="str">
        <f t="shared" ref="J1119:J1124" si="86">IF(I1119&gt;0,"ATRASADO","")</f>
        <v>ATRASADO</v>
      </c>
    </row>
    <row r="1120" spans="2:10">
      <c r="B1120" s="13" t="s">
        <v>290</v>
      </c>
      <c r="C1120" s="19" t="s">
        <v>102</v>
      </c>
      <c r="D1120" s="21" t="s">
        <v>289</v>
      </c>
      <c r="E1120" s="11">
        <v>40280</v>
      </c>
      <c r="F1120" s="32">
        <v>23200</v>
      </c>
      <c r="G1120" s="11">
        <v>40280</v>
      </c>
      <c r="H1120" s="90">
        <f t="shared" si="84"/>
        <v>0</v>
      </c>
      <c r="I1120" s="90">
        <f t="shared" si="85"/>
        <v>23200</v>
      </c>
      <c r="J1120" s="118" t="str">
        <f t="shared" si="86"/>
        <v>ATRASADO</v>
      </c>
    </row>
    <row r="1121" spans="2:10">
      <c r="B1121" s="13" t="s">
        <v>290</v>
      </c>
      <c r="C1121" s="19" t="s">
        <v>102</v>
      </c>
      <c r="D1121" s="21" t="s">
        <v>291</v>
      </c>
      <c r="E1121" s="11">
        <v>40310</v>
      </c>
      <c r="F1121" s="32">
        <v>23200</v>
      </c>
      <c r="G1121" s="11">
        <v>40310</v>
      </c>
      <c r="H1121" s="90">
        <f t="shared" si="84"/>
        <v>0</v>
      </c>
      <c r="I1121" s="90">
        <f t="shared" si="85"/>
        <v>23200</v>
      </c>
      <c r="J1121" s="118" t="str">
        <f t="shared" si="86"/>
        <v>ATRASADO</v>
      </c>
    </row>
    <row r="1122" spans="2:10">
      <c r="B1122" s="13" t="s">
        <v>290</v>
      </c>
      <c r="C1122" s="19" t="s">
        <v>102</v>
      </c>
      <c r="D1122" s="21" t="s">
        <v>448</v>
      </c>
      <c r="E1122" s="11">
        <v>40343</v>
      </c>
      <c r="F1122" s="32">
        <v>23200</v>
      </c>
      <c r="G1122" s="11">
        <v>40343</v>
      </c>
      <c r="H1122" s="90">
        <f t="shared" si="84"/>
        <v>0</v>
      </c>
      <c r="I1122" s="90">
        <f t="shared" si="85"/>
        <v>23200</v>
      </c>
      <c r="J1122" s="118" t="str">
        <f t="shared" si="86"/>
        <v>ATRASADO</v>
      </c>
    </row>
    <row r="1123" spans="2:10">
      <c r="B1123" s="13" t="s">
        <v>290</v>
      </c>
      <c r="C1123" s="19" t="s">
        <v>102</v>
      </c>
      <c r="D1123" s="21" t="s">
        <v>292</v>
      </c>
      <c r="E1123" s="11">
        <v>40379</v>
      </c>
      <c r="F1123" s="32">
        <v>23200</v>
      </c>
      <c r="G1123" s="11">
        <v>40379</v>
      </c>
      <c r="H1123" s="90">
        <f t="shared" si="84"/>
        <v>0</v>
      </c>
      <c r="I1123" s="90">
        <f t="shared" si="85"/>
        <v>23200</v>
      </c>
      <c r="J1123" s="118" t="str">
        <f t="shared" si="86"/>
        <v>ATRASADO</v>
      </c>
    </row>
    <row r="1124" spans="2:10">
      <c r="B1124" s="13" t="s">
        <v>290</v>
      </c>
      <c r="C1124" s="19" t="s">
        <v>102</v>
      </c>
      <c r="D1124" s="21" t="s">
        <v>293</v>
      </c>
      <c r="E1124" s="11">
        <v>40403</v>
      </c>
      <c r="F1124" s="32">
        <v>23200</v>
      </c>
      <c r="G1124" s="11">
        <v>40403</v>
      </c>
      <c r="H1124" s="90">
        <f t="shared" si="84"/>
        <v>0</v>
      </c>
      <c r="I1124" s="90">
        <f t="shared" si="85"/>
        <v>23200</v>
      </c>
      <c r="J1124" s="118" t="str">
        <f t="shared" si="86"/>
        <v>ATRASADO</v>
      </c>
    </row>
    <row r="1125" spans="2:10">
      <c r="B1125" s="13"/>
      <c r="C1125" s="19"/>
      <c r="D1125" s="21"/>
      <c r="E1125" s="11"/>
      <c r="F1125" s="32"/>
      <c r="G1125" s="11"/>
    </row>
    <row r="1126" spans="2:10">
      <c r="B1126" s="13" t="s">
        <v>491</v>
      </c>
      <c r="C1126" s="19" t="s">
        <v>21</v>
      </c>
      <c r="D1126" s="16" t="s">
        <v>492</v>
      </c>
      <c r="E1126" s="11">
        <v>39962</v>
      </c>
      <c r="F1126" s="32">
        <v>11700</v>
      </c>
      <c r="G1126" s="11">
        <v>39962</v>
      </c>
      <c r="H1126" s="90">
        <f>IF(F1126&gt;0,0,"")</f>
        <v>0</v>
      </c>
      <c r="I1126" s="90">
        <f>IF(H1126=0,F1126,"")</f>
        <v>11700</v>
      </c>
      <c r="J1126" s="118" t="str">
        <f>IF(I1126&gt;0,"ATRASADO","")</f>
        <v>ATRASADO</v>
      </c>
    </row>
    <row r="1127" spans="2:10">
      <c r="B1127" s="13"/>
      <c r="C1127" s="19"/>
      <c r="D1127" s="16"/>
      <c r="E1127" s="11"/>
      <c r="F1127" s="32"/>
      <c r="G1127" s="11"/>
    </row>
    <row r="1128" spans="2:10">
      <c r="B1128" s="13" t="s">
        <v>225</v>
      </c>
      <c r="C1128" s="19" t="s">
        <v>207</v>
      </c>
      <c r="D1128" s="21" t="s">
        <v>566</v>
      </c>
      <c r="E1128" s="11">
        <v>40438</v>
      </c>
      <c r="F1128" s="32">
        <v>25269.200000000001</v>
      </c>
      <c r="G1128" s="11">
        <v>40438</v>
      </c>
      <c r="H1128" s="90">
        <f>IF(F1128&gt;0,0,"")</f>
        <v>0</v>
      </c>
      <c r="I1128" s="90">
        <f>IF(H1128=0,F1128,"")</f>
        <v>25269.200000000001</v>
      </c>
      <c r="J1128" s="118" t="str">
        <f>IF(I1128&gt;0,"ATRASADO","")</f>
        <v>ATRASADO</v>
      </c>
    </row>
    <row r="1129" spans="2:10">
      <c r="B1129" s="13" t="s">
        <v>225</v>
      </c>
      <c r="C1129" s="19" t="s">
        <v>207</v>
      </c>
      <c r="D1129" s="21" t="s">
        <v>567</v>
      </c>
      <c r="E1129" s="11">
        <v>40441</v>
      </c>
      <c r="F1129" s="32">
        <v>283904.2</v>
      </c>
      <c r="G1129" s="11">
        <v>40441</v>
      </c>
      <c r="H1129" s="90">
        <f>IF(F1129&gt;0,0,"")</f>
        <v>0</v>
      </c>
      <c r="I1129" s="90">
        <f>IF(H1129=0,F1129,"")</f>
        <v>283904.2</v>
      </c>
      <c r="J1129" s="118" t="str">
        <f>IF(I1129&gt;0,"ATRASADO","")</f>
        <v>ATRASADO</v>
      </c>
    </row>
    <row r="1130" spans="2:10">
      <c r="B1130" s="13"/>
      <c r="C1130" s="19"/>
      <c r="D1130" s="21"/>
      <c r="E1130" s="11"/>
      <c r="F1130" s="32"/>
      <c r="G1130" s="11"/>
    </row>
    <row r="1131" spans="2:10">
      <c r="B1131" s="13" t="s">
        <v>294</v>
      </c>
      <c r="C1131" s="19" t="s">
        <v>102</v>
      </c>
      <c r="D1131" s="21" t="s">
        <v>233</v>
      </c>
      <c r="E1131" s="11">
        <v>40269</v>
      </c>
      <c r="F1131" s="32">
        <v>290000</v>
      </c>
      <c r="G1131" s="11">
        <v>40210</v>
      </c>
      <c r="H1131" s="90">
        <f>IF(F1131&gt;0,0,"")</f>
        <v>0</v>
      </c>
      <c r="I1131" s="90">
        <f>IF(H1131=0,F1131,"")</f>
        <v>290000</v>
      </c>
      <c r="J1131" s="118" t="str">
        <f>IF(I1131&gt;0,"ATRASADO","")</f>
        <v>ATRASADO</v>
      </c>
    </row>
    <row r="1132" spans="2:10">
      <c r="B1132" s="13" t="s">
        <v>294</v>
      </c>
      <c r="C1132" s="19" t="s">
        <v>102</v>
      </c>
      <c r="D1132" s="21" t="s">
        <v>449</v>
      </c>
      <c r="E1132" s="11">
        <v>40274</v>
      </c>
      <c r="F1132" s="32">
        <v>145000</v>
      </c>
      <c r="G1132" s="11">
        <v>40240</v>
      </c>
      <c r="H1132" s="90">
        <f>IF(F1132&gt;0,0,"")</f>
        <v>0</v>
      </c>
      <c r="I1132" s="90">
        <f>IF(H1132=0,F1132,"")</f>
        <v>145000</v>
      </c>
      <c r="J1132" s="118" t="str">
        <f>IF(I1132&gt;0,"ATRASADO","")</f>
        <v>ATRASADO</v>
      </c>
    </row>
    <row r="1133" spans="2:10">
      <c r="B1133" s="13" t="s">
        <v>294</v>
      </c>
      <c r="C1133" s="19" t="s">
        <v>102</v>
      </c>
      <c r="D1133" s="21" t="s">
        <v>234</v>
      </c>
      <c r="E1133" s="11">
        <v>40331</v>
      </c>
      <c r="F1133" s="32">
        <v>145000</v>
      </c>
      <c r="G1133" s="11">
        <v>40331</v>
      </c>
      <c r="H1133" s="90">
        <f>IF(F1133&gt;0,0,"")</f>
        <v>0</v>
      </c>
      <c r="I1133" s="90">
        <f>IF(H1133=0,F1133,"")</f>
        <v>145000</v>
      </c>
      <c r="J1133" s="118" t="str">
        <f>IF(I1133&gt;0,"ATRASADO","")</f>
        <v>ATRASADO</v>
      </c>
    </row>
    <row r="1134" spans="2:10">
      <c r="B1134" s="13"/>
      <c r="C1134" s="19"/>
      <c r="D1134" s="21"/>
      <c r="E1134" s="11"/>
      <c r="F1134" s="32"/>
      <c r="G1134" s="11"/>
    </row>
    <row r="1135" spans="2:10">
      <c r="B1135" s="13" t="s">
        <v>227</v>
      </c>
      <c r="C1135" s="19" t="s">
        <v>207</v>
      </c>
      <c r="D1135" s="21" t="s">
        <v>226</v>
      </c>
      <c r="E1135" s="11">
        <v>40252</v>
      </c>
      <c r="F1135" s="32">
        <v>231408</v>
      </c>
      <c r="G1135" s="11">
        <v>40252</v>
      </c>
      <c r="H1135" s="90">
        <f>IF(F1135&gt;0,0,"")</f>
        <v>0</v>
      </c>
      <c r="I1135" s="90">
        <f>IF(H1135=0,F1135,"")</f>
        <v>231408</v>
      </c>
      <c r="J1135" s="118" t="str">
        <f>IF(I1135&gt;0,"ATRASADO","")</f>
        <v>ATRASADO</v>
      </c>
    </row>
    <row r="1136" spans="2:10">
      <c r="B1136" s="13" t="s">
        <v>227</v>
      </c>
      <c r="C1136" s="19" t="s">
        <v>207</v>
      </c>
      <c r="D1136" s="21" t="s">
        <v>228</v>
      </c>
      <c r="E1136" s="11">
        <v>40259</v>
      </c>
      <c r="F1136" s="32">
        <v>465184</v>
      </c>
      <c r="G1136" s="11">
        <v>40259</v>
      </c>
      <c r="H1136" s="90">
        <f>IF(F1136&gt;0,0,"")</f>
        <v>0</v>
      </c>
      <c r="I1136" s="90">
        <f>IF(H1136=0,F1136,"")</f>
        <v>465184</v>
      </c>
      <c r="J1136" s="118" t="str">
        <f>IF(I1136&gt;0,"ATRASADO","")</f>
        <v>ATRASADO</v>
      </c>
    </row>
    <row r="1137" spans="2:10">
      <c r="B1137" s="13" t="s">
        <v>227</v>
      </c>
      <c r="C1137" s="19" t="s">
        <v>207</v>
      </c>
      <c r="D1137" s="21" t="s">
        <v>229</v>
      </c>
      <c r="E1137" s="11">
        <v>40280</v>
      </c>
      <c r="F1137" s="32">
        <v>155072</v>
      </c>
      <c r="G1137" s="11">
        <v>40280</v>
      </c>
      <c r="H1137" s="90">
        <f>IF(F1137&gt;0,0,"")</f>
        <v>0</v>
      </c>
      <c r="I1137" s="90">
        <f>IF(H1137=0,F1137,"")</f>
        <v>155072</v>
      </c>
      <c r="J1137" s="118" t="str">
        <f>IF(I1137&gt;0,"ATRASADO","")</f>
        <v>ATRASADO</v>
      </c>
    </row>
    <row r="1138" spans="2:10">
      <c r="B1138" s="13" t="s">
        <v>227</v>
      </c>
      <c r="C1138" s="19" t="s">
        <v>207</v>
      </c>
      <c r="D1138" s="21" t="s">
        <v>230</v>
      </c>
      <c r="E1138" s="11">
        <v>40231</v>
      </c>
      <c r="F1138" s="32">
        <v>154072</v>
      </c>
      <c r="G1138" s="11">
        <v>40231</v>
      </c>
      <c r="H1138" s="90">
        <f>IF(F1138&gt;0,0,"")</f>
        <v>0</v>
      </c>
      <c r="I1138" s="90">
        <f>IF(H1138=0,F1138,"")</f>
        <v>154072</v>
      </c>
      <c r="J1138" s="118" t="str">
        <f>IF(I1138&gt;0,"ATRASADO","")</f>
        <v>ATRASADO</v>
      </c>
    </row>
    <row r="1139" spans="2:10">
      <c r="B1139" s="13" t="s">
        <v>227</v>
      </c>
      <c r="C1139" s="19" t="s">
        <v>207</v>
      </c>
      <c r="D1139" s="21" t="s">
        <v>446</v>
      </c>
      <c r="E1139" s="11">
        <v>41122</v>
      </c>
      <c r="F1139" s="32">
        <v>145000</v>
      </c>
      <c r="G1139" s="11">
        <v>41122</v>
      </c>
      <c r="H1139" s="90">
        <f>IF(F1139&gt;0,0,"")</f>
        <v>0</v>
      </c>
      <c r="I1139" s="90">
        <f>IF(H1139=0,F1139,"")</f>
        <v>145000</v>
      </c>
      <c r="J1139" s="118" t="str">
        <f>IF(I1139&gt;0,"ATRASADO","")</f>
        <v>ATRASADO</v>
      </c>
    </row>
    <row r="1140" spans="2:10">
      <c r="B1140" s="13"/>
      <c r="C1140" s="19"/>
      <c r="D1140" s="21"/>
      <c r="E1140" s="11"/>
      <c r="F1140" s="32"/>
      <c r="G1140" s="11"/>
    </row>
    <row r="1141" spans="2:10">
      <c r="B1141" s="13" t="s">
        <v>495</v>
      </c>
      <c r="C1141" s="19" t="s">
        <v>102</v>
      </c>
      <c r="D1141" s="16">
        <v>1500102840</v>
      </c>
      <c r="E1141" s="10">
        <v>40179</v>
      </c>
      <c r="F1141" s="32">
        <v>17400</v>
      </c>
      <c r="G1141" s="10">
        <v>40179</v>
      </c>
      <c r="H1141" s="90">
        <f>IF(F1141&gt;0,0,"")</f>
        <v>0</v>
      </c>
      <c r="I1141" s="90">
        <f>IF(H1141=0,F1141,"")</f>
        <v>17400</v>
      </c>
      <c r="J1141" s="118" t="str">
        <f>IF(I1141&gt;0,"ATRASADO","")</f>
        <v>ATRASADO</v>
      </c>
    </row>
    <row r="1142" spans="2:10">
      <c r="B1142" s="13"/>
      <c r="C1142" s="19"/>
      <c r="D1142" s="16"/>
      <c r="E1142" s="10"/>
      <c r="F1142" s="32"/>
      <c r="G1142" s="10"/>
    </row>
    <row r="1143" spans="2:10">
      <c r="B1143" s="13" t="s">
        <v>11</v>
      </c>
      <c r="C1143" s="19" t="s">
        <v>7</v>
      </c>
      <c r="D1143" s="16">
        <v>1500000002</v>
      </c>
      <c r="E1143" s="10">
        <v>41071</v>
      </c>
      <c r="F1143" s="32">
        <v>20380.400000000001</v>
      </c>
      <c r="G1143" s="10">
        <v>41071</v>
      </c>
      <c r="H1143" s="90">
        <f>IF(F1143&gt;0,0,"")</f>
        <v>0</v>
      </c>
      <c r="I1143" s="90">
        <f>IF(H1143=0,F1143,"")</f>
        <v>20380.400000000001</v>
      </c>
      <c r="J1143" s="118" t="str">
        <f>IF(I1143&gt;0,"ATRASADO","")</f>
        <v>ATRASADO</v>
      </c>
    </row>
    <row r="1144" spans="2:10">
      <c r="B1144" s="13"/>
      <c r="C1144" s="19"/>
      <c r="D1144" s="75"/>
      <c r="E1144" s="95"/>
      <c r="F1144" s="77"/>
      <c r="G1144" s="78"/>
    </row>
    <row r="1145" spans="2:10">
      <c r="B1145" s="13" t="s">
        <v>539</v>
      </c>
      <c r="C1145" s="19" t="s">
        <v>102</v>
      </c>
      <c r="D1145" s="35" t="s">
        <v>538</v>
      </c>
      <c r="E1145" s="36">
        <v>40121</v>
      </c>
      <c r="F1145" s="32">
        <v>58000</v>
      </c>
      <c r="G1145" s="36">
        <v>40121</v>
      </c>
      <c r="H1145" s="90">
        <f>IF(F1145&gt;0,0,"")</f>
        <v>0</v>
      </c>
      <c r="I1145" s="90">
        <f>IF(H1145=0,F1145,"")</f>
        <v>58000</v>
      </c>
      <c r="J1145" s="118" t="str">
        <f>IF(I1145&gt;0,"ATRASADO","")</f>
        <v>ATRASADO</v>
      </c>
    </row>
    <row r="1146" spans="2:10">
      <c r="B1146" s="13"/>
      <c r="C1146" s="19"/>
      <c r="D1146" s="75"/>
      <c r="E1146" s="95"/>
      <c r="F1146" s="77"/>
      <c r="G1146" s="78"/>
    </row>
    <row r="1147" spans="2:10">
      <c r="B1147" s="13" t="s">
        <v>586</v>
      </c>
      <c r="C1147" s="19" t="s">
        <v>207</v>
      </c>
      <c r="D1147" s="21" t="s">
        <v>231</v>
      </c>
      <c r="E1147" s="11">
        <v>40096</v>
      </c>
      <c r="F1147" s="32">
        <v>35279.08</v>
      </c>
      <c r="G1147" s="11">
        <v>40096</v>
      </c>
      <c r="H1147" s="90">
        <f t="shared" ref="H1147:H1153" si="87">IF(F1147&gt;0,0,"")</f>
        <v>0</v>
      </c>
      <c r="I1147" s="90">
        <f t="shared" ref="I1147:I1153" si="88">IF(H1147=0,F1147,"")</f>
        <v>35279.08</v>
      </c>
      <c r="J1147" s="118" t="str">
        <f t="shared" ref="J1147:J1153" si="89">IF(I1147&gt;0,"ATRASADO","")</f>
        <v>ATRASADO</v>
      </c>
    </row>
    <row r="1148" spans="2:10">
      <c r="B1148" s="13" t="s">
        <v>586</v>
      </c>
      <c r="C1148" s="19" t="s">
        <v>207</v>
      </c>
      <c r="D1148" s="21" t="s">
        <v>232</v>
      </c>
      <c r="E1148" s="11">
        <v>40344</v>
      </c>
      <c r="F1148" s="32">
        <v>164208.44</v>
      </c>
      <c r="G1148" s="11">
        <v>40344</v>
      </c>
      <c r="H1148" s="90">
        <f t="shared" si="87"/>
        <v>0</v>
      </c>
      <c r="I1148" s="90">
        <f t="shared" si="88"/>
        <v>164208.44</v>
      </c>
      <c r="J1148" s="118" t="str">
        <f t="shared" si="89"/>
        <v>ATRASADO</v>
      </c>
    </row>
    <row r="1149" spans="2:10">
      <c r="B1149" s="13" t="s">
        <v>586</v>
      </c>
      <c r="C1149" s="19" t="s">
        <v>207</v>
      </c>
      <c r="D1149" s="21" t="s">
        <v>233</v>
      </c>
      <c r="E1149" s="11">
        <v>40344</v>
      </c>
      <c r="F1149" s="32">
        <v>447681.93</v>
      </c>
      <c r="G1149" s="11">
        <v>40344</v>
      </c>
      <c r="H1149" s="90">
        <f t="shared" si="87"/>
        <v>0</v>
      </c>
      <c r="I1149" s="90">
        <f t="shared" si="88"/>
        <v>447681.93</v>
      </c>
      <c r="J1149" s="118" t="str">
        <f t="shared" si="89"/>
        <v>ATRASADO</v>
      </c>
    </row>
    <row r="1150" spans="2:10">
      <c r="B1150" s="13" t="s">
        <v>586</v>
      </c>
      <c r="C1150" s="19" t="s">
        <v>207</v>
      </c>
      <c r="D1150" s="21" t="s">
        <v>234</v>
      </c>
      <c r="E1150" s="11">
        <v>40347</v>
      </c>
      <c r="F1150" s="32">
        <v>104832.68</v>
      </c>
      <c r="G1150" s="11">
        <v>40347</v>
      </c>
      <c r="H1150" s="90">
        <f t="shared" si="87"/>
        <v>0</v>
      </c>
      <c r="I1150" s="90">
        <f t="shared" si="88"/>
        <v>104832.68</v>
      </c>
      <c r="J1150" s="118" t="str">
        <f t="shared" si="89"/>
        <v>ATRASADO</v>
      </c>
    </row>
    <row r="1151" spans="2:10">
      <c r="B1151" s="13" t="s">
        <v>586</v>
      </c>
      <c r="C1151" s="19" t="s">
        <v>207</v>
      </c>
      <c r="D1151" s="21" t="s">
        <v>235</v>
      </c>
      <c r="E1151" s="11">
        <v>40348</v>
      </c>
      <c r="F1151" s="32">
        <v>50360.82</v>
      </c>
      <c r="G1151" s="11">
        <v>40348</v>
      </c>
      <c r="H1151" s="90">
        <f t="shared" si="87"/>
        <v>0</v>
      </c>
      <c r="I1151" s="90">
        <f t="shared" si="88"/>
        <v>50360.82</v>
      </c>
      <c r="J1151" s="118" t="str">
        <f t="shared" si="89"/>
        <v>ATRASADO</v>
      </c>
    </row>
    <row r="1152" spans="2:10">
      <c r="B1152" s="13" t="s">
        <v>586</v>
      </c>
      <c r="C1152" s="19" t="s">
        <v>207</v>
      </c>
      <c r="D1152" s="21" t="s">
        <v>236</v>
      </c>
      <c r="E1152" s="11">
        <v>40348</v>
      </c>
      <c r="F1152" s="32">
        <v>50360.82</v>
      </c>
      <c r="G1152" s="11">
        <v>40348</v>
      </c>
      <c r="H1152" s="90">
        <f t="shared" si="87"/>
        <v>0</v>
      </c>
      <c r="I1152" s="90">
        <f t="shared" si="88"/>
        <v>50360.82</v>
      </c>
      <c r="J1152" s="118" t="str">
        <f t="shared" si="89"/>
        <v>ATRASADO</v>
      </c>
    </row>
    <row r="1153" spans="2:10">
      <c r="B1153" s="13" t="s">
        <v>586</v>
      </c>
      <c r="C1153" s="19" t="s">
        <v>207</v>
      </c>
      <c r="D1153" s="21" t="s">
        <v>237</v>
      </c>
      <c r="E1153" s="11">
        <v>40350</v>
      </c>
      <c r="F1153" s="32">
        <v>50360.82</v>
      </c>
      <c r="G1153" s="11">
        <v>40350</v>
      </c>
      <c r="H1153" s="90">
        <f t="shared" si="87"/>
        <v>0</v>
      </c>
      <c r="I1153" s="90">
        <f t="shared" si="88"/>
        <v>50360.82</v>
      </c>
      <c r="J1153" s="118" t="str">
        <f t="shared" si="89"/>
        <v>ATRASADO</v>
      </c>
    </row>
    <row r="1154" spans="2:10">
      <c r="B1154" s="13"/>
      <c r="C1154" s="19"/>
      <c r="D1154" s="21"/>
      <c r="E1154" s="11"/>
      <c r="F1154" s="32"/>
      <c r="G1154" s="11"/>
    </row>
    <row r="1155" spans="2:10">
      <c r="B1155" s="13" t="s">
        <v>416</v>
      </c>
      <c r="C1155" s="19" t="s">
        <v>114</v>
      </c>
      <c r="D1155" s="35" t="s">
        <v>465</v>
      </c>
      <c r="E1155" s="36">
        <v>39801</v>
      </c>
      <c r="F1155" s="32">
        <v>5293.08</v>
      </c>
      <c r="G1155" s="36">
        <v>39801</v>
      </c>
      <c r="H1155" s="90">
        <f>IF(F1155&gt;0,0,"")</f>
        <v>0</v>
      </c>
      <c r="I1155" s="90">
        <f>IF(H1155=0,F1155,"")</f>
        <v>5293.08</v>
      </c>
      <c r="J1155" s="118" t="str">
        <f>IF(I1155&gt;0,"ATRASADO","")</f>
        <v>ATRASADO</v>
      </c>
    </row>
    <row r="1156" spans="2:10">
      <c r="B1156" s="13" t="s">
        <v>416</v>
      </c>
      <c r="C1156" s="19" t="s">
        <v>114</v>
      </c>
      <c r="D1156" s="35" t="s">
        <v>466</v>
      </c>
      <c r="E1156" s="36">
        <v>40848</v>
      </c>
      <c r="F1156" s="32">
        <v>2844.32</v>
      </c>
      <c r="G1156" s="36">
        <v>40603</v>
      </c>
      <c r="H1156" s="90">
        <f>IF(F1156&gt;0,0,"")</f>
        <v>0</v>
      </c>
      <c r="I1156" s="90">
        <f>IF(H1156=0,F1156,"")</f>
        <v>2844.32</v>
      </c>
      <c r="J1156" s="118" t="str">
        <f>IF(I1156&gt;0,"ATRASADO","")</f>
        <v>ATRASADO</v>
      </c>
    </row>
    <row r="1157" spans="2:10">
      <c r="B1157" s="13"/>
      <c r="C1157" s="19"/>
      <c r="D1157" s="35"/>
      <c r="E1157" s="36"/>
      <c r="F1157" s="32"/>
      <c r="G1157" s="36"/>
    </row>
    <row r="1158" spans="2:10">
      <c r="B1158" s="13" t="s">
        <v>238</v>
      </c>
      <c r="C1158" s="19" t="s">
        <v>207</v>
      </c>
      <c r="D1158" s="37">
        <v>100000151</v>
      </c>
      <c r="E1158" s="11">
        <v>40001</v>
      </c>
      <c r="F1158" s="32">
        <v>77360.399999999994</v>
      </c>
      <c r="G1158" s="11">
        <v>40001</v>
      </c>
      <c r="H1158" s="90">
        <f>IF(F1158&gt;0,0,"")</f>
        <v>0</v>
      </c>
      <c r="I1158" s="90">
        <f>IF(H1158=0,F1158,"")</f>
        <v>77360.399999999994</v>
      </c>
      <c r="J1158" s="118" t="str">
        <f>IF(I1158&gt;0,"ATRASADO","")</f>
        <v>ATRASADO</v>
      </c>
    </row>
    <row r="1159" spans="2:10">
      <c r="B1159" s="13"/>
      <c r="C1159" s="19"/>
      <c r="D1159" s="37"/>
      <c r="E1159" s="11"/>
      <c r="F1159" s="32"/>
      <c r="G1159" s="11"/>
    </row>
    <row r="1160" spans="2:10">
      <c r="B1160" s="13" t="s">
        <v>251</v>
      </c>
      <c r="C1160" s="19" t="s">
        <v>250</v>
      </c>
      <c r="D1160" s="18" t="s">
        <v>440</v>
      </c>
      <c r="E1160" s="11">
        <v>40543</v>
      </c>
      <c r="F1160" s="32">
        <v>2170670.15</v>
      </c>
      <c r="G1160" s="11">
        <v>40543</v>
      </c>
      <c r="H1160" s="90">
        <f>IF(F1160&gt;0,0,"")</f>
        <v>0</v>
      </c>
      <c r="I1160" s="90">
        <f>IF(H1160=0,F1160,"")</f>
        <v>2170670.15</v>
      </c>
      <c r="J1160" s="118" t="str">
        <f>IF(I1160&gt;0,"ATRASADO","")</f>
        <v>ATRASADO</v>
      </c>
    </row>
    <row r="1161" spans="2:10">
      <c r="B1161" s="13"/>
      <c r="C1161" s="19"/>
      <c r="D1161" s="18"/>
      <c r="E1161" s="11"/>
      <c r="F1161" s="32"/>
      <c r="G1161" s="11"/>
    </row>
    <row r="1162" spans="2:10">
      <c r="B1162" s="13" t="s">
        <v>240</v>
      </c>
      <c r="C1162" s="19" t="s">
        <v>207</v>
      </c>
      <c r="D1162" s="21" t="s">
        <v>239</v>
      </c>
      <c r="E1162" s="11">
        <v>40177</v>
      </c>
      <c r="F1162" s="32">
        <v>1501200</v>
      </c>
      <c r="G1162" s="11">
        <v>40177</v>
      </c>
      <c r="H1162" s="90">
        <f>IF(F1162&gt;0,0,"")</f>
        <v>0</v>
      </c>
      <c r="I1162" s="90">
        <f>IF(H1162=0,F1162,"")</f>
        <v>1501200</v>
      </c>
      <c r="J1162" s="118" t="str">
        <f>IF(I1162&gt;0,"ATRASADO","")</f>
        <v>ATRASADO</v>
      </c>
    </row>
    <row r="1163" spans="2:10">
      <c r="B1163" s="13" t="s">
        <v>240</v>
      </c>
      <c r="C1163" s="19" t="s">
        <v>207</v>
      </c>
      <c r="D1163" s="21" t="s">
        <v>886</v>
      </c>
      <c r="E1163" s="11">
        <v>44203</v>
      </c>
      <c r="F1163" s="32">
        <v>61200</v>
      </c>
      <c r="G1163" s="11">
        <v>44203</v>
      </c>
      <c r="H1163" s="90">
        <f>IF(F1163&gt;0,0,"")</f>
        <v>0</v>
      </c>
      <c r="I1163" s="90">
        <f>IF(H1163=0,F1163,"")</f>
        <v>61200</v>
      </c>
      <c r="J1163" s="118" t="str">
        <f>IF(I1163&gt;0,"ATRASADO","")</f>
        <v>ATRASADO</v>
      </c>
    </row>
    <row r="1164" spans="2:10">
      <c r="B1164" s="13"/>
      <c r="C1164" s="19"/>
      <c r="D1164" s="21"/>
      <c r="E1164" s="11"/>
      <c r="F1164" s="32"/>
      <c r="G1164" s="11"/>
    </row>
    <row r="1165" spans="2:10">
      <c r="B1165" s="13" t="s">
        <v>296</v>
      </c>
      <c r="C1165" s="19" t="s">
        <v>102</v>
      </c>
      <c r="D1165" s="21" t="s">
        <v>295</v>
      </c>
      <c r="E1165" s="11">
        <v>40184</v>
      </c>
      <c r="F1165" s="32">
        <v>29000</v>
      </c>
      <c r="G1165" s="11">
        <v>40184</v>
      </c>
      <c r="H1165" s="90">
        <f>IF(F1165&gt;0,0,"")</f>
        <v>0</v>
      </c>
      <c r="I1165" s="90">
        <f>IF(H1165=0,F1165,"")</f>
        <v>29000</v>
      </c>
      <c r="J1165" s="118" t="str">
        <f>IF(I1165&gt;0,"ATRASADO","")</f>
        <v>ATRASADO</v>
      </c>
    </row>
    <row r="1166" spans="2:10">
      <c r="B1166" s="13" t="s">
        <v>296</v>
      </c>
      <c r="C1166" s="19" t="s">
        <v>102</v>
      </c>
      <c r="D1166" s="21" t="s">
        <v>450</v>
      </c>
      <c r="E1166" s="11">
        <v>40215</v>
      </c>
      <c r="F1166" s="32">
        <v>29000</v>
      </c>
      <c r="G1166" s="11">
        <v>40215</v>
      </c>
      <c r="H1166" s="90">
        <f>IF(F1166&gt;0,0,"")</f>
        <v>0</v>
      </c>
      <c r="I1166" s="90">
        <f>IF(H1166=0,F1166,"")</f>
        <v>29000</v>
      </c>
      <c r="J1166" s="118" t="str">
        <f>IF(I1166&gt;0,"ATRASADO","")</f>
        <v>ATRASADO</v>
      </c>
    </row>
    <row r="1167" spans="2:10">
      <c r="B1167" s="13"/>
      <c r="C1167" s="19"/>
      <c r="D1167" s="21"/>
      <c r="E1167" s="11"/>
      <c r="F1167" s="32"/>
      <c r="G1167" s="11"/>
    </row>
    <row r="1168" spans="2:10">
      <c r="B1168" s="13" t="s">
        <v>418</v>
      </c>
      <c r="C1168" s="19" t="s">
        <v>24</v>
      </c>
      <c r="D1168" s="35" t="s">
        <v>417</v>
      </c>
      <c r="E1168" s="36">
        <v>40492</v>
      </c>
      <c r="F1168" s="32">
        <v>15000</v>
      </c>
      <c r="G1168" s="36">
        <v>40492</v>
      </c>
      <c r="H1168" s="90">
        <f>IF(F1168&gt;0,0,"")</f>
        <v>0</v>
      </c>
      <c r="I1168" s="90">
        <f>IF(H1168=0,F1168,"")</f>
        <v>15000</v>
      </c>
      <c r="J1168" s="118" t="str">
        <f>IF(I1168&gt;0,"ATRASADO","")</f>
        <v>ATRASADO</v>
      </c>
    </row>
    <row r="1169" spans="2:10">
      <c r="B1169" s="13"/>
      <c r="C1169" s="19"/>
      <c r="D1169" s="35"/>
      <c r="E1169" s="36"/>
      <c r="F1169" s="32"/>
      <c r="G1169" s="36"/>
    </row>
    <row r="1170" spans="2:10" ht="24.75">
      <c r="B1170" s="13" t="s">
        <v>489</v>
      </c>
      <c r="C1170" s="19" t="s">
        <v>490</v>
      </c>
      <c r="D1170" s="18" t="s">
        <v>488</v>
      </c>
      <c r="E1170" s="11">
        <v>40908</v>
      </c>
      <c r="F1170" s="32">
        <v>600000</v>
      </c>
      <c r="G1170" s="11">
        <v>40908</v>
      </c>
      <c r="H1170" s="90">
        <f>IF(F1170&gt;0,0,"")</f>
        <v>0</v>
      </c>
      <c r="I1170" s="90">
        <f>IF(H1170=0,F1170,"")</f>
        <v>600000</v>
      </c>
      <c r="J1170" s="118" t="str">
        <f>IF(I1170&gt;0,"ATRASADO","")</f>
        <v>ATRASADO</v>
      </c>
    </row>
    <row r="1171" spans="2:10">
      <c r="B1171" s="13"/>
      <c r="C1171" s="19"/>
      <c r="D1171" s="18"/>
      <c r="E1171" s="11"/>
      <c r="F1171" s="32"/>
      <c r="G1171" s="11"/>
    </row>
    <row r="1172" spans="2:10">
      <c r="B1172" s="13" t="s">
        <v>298</v>
      </c>
      <c r="C1172" s="19" t="s">
        <v>102</v>
      </c>
      <c r="D1172" s="21" t="s">
        <v>297</v>
      </c>
      <c r="E1172" s="11">
        <v>40309</v>
      </c>
      <c r="F1172" s="32">
        <v>58000</v>
      </c>
      <c r="G1172" s="11">
        <v>40309</v>
      </c>
      <c r="H1172" s="90">
        <f t="shared" ref="H1172:H1177" si="90">IF(F1172&gt;0,0,"")</f>
        <v>0</v>
      </c>
      <c r="I1172" s="90">
        <f t="shared" ref="I1172:I1177" si="91">IF(H1172=0,F1172,"")</f>
        <v>58000</v>
      </c>
      <c r="J1172" s="118" t="str">
        <f t="shared" ref="J1172:J1177" si="92">IF(I1172&gt;0,"ATRASADO","")</f>
        <v>ATRASADO</v>
      </c>
    </row>
    <row r="1173" spans="2:10">
      <c r="B1173" s="13" t="s">
        <v>298</v>
      </c>
      <c r="C1173" s="19" t="s">
        <v>102</v>
      </c>
      <c r="D1173" s="21" t="s">
        <v>299</v>
      </c>
      <c r="E1173" s="11">
        <v>40309</v>
      </c>
      <c r="F1173" s="32">
        <v>58000</v>
      </c>
      <c r="G1173" s="11">
        <v>40309</v>
      </c>
      <c r="H1173" s="90">
        <f t="shared" si="90"/>
        <v>0</v>
      </c>
      <c r="I1173" s="90">
        <f t="shared" si="91"/>
        <v>58000</v>
      </c>
      <c r="J1173" s="118" t="str">
        <f t="shared" si="92"/>
        <v>ATRASADO</v>
      </c>
    </row>
    <row r="1174" spans="2:10">
      <c r="B1174" s="13" t="s">
        <v>298</v>
      </c>
      <c r="C1174" s="19" t="s">
        <v>102</v>
      </c>
      <c r="D1174" s="21" t="s">
        <v>300</v>
      </c>
      <c r="E1174" s="11">
        <v>40340</v>
      </c>
      <c r="F1174" s="32">
        <v>58000</v>
      </c>
      <c r="G1174" s="11">
        <v>40340</v>
      </c>
      <c r="H1174" s="90">
        <f t="shared" si="90"/>
        <v>0</v>
      </c>
      <c r="I1174" s="90">
        <f t="shared" si="91"/>
        <v>58000</v>
      </c>
      <c r="J1174" s="118" t="str">
        <f t="shared" si="92"/>
        <v>ATRASADO</v>
      </c>
    </row>
    <row r="1175" spans="2:10">
      <c r="B1175" s="13" t="s">
        <v>298</v>
      </c>
      <c r="C1175" s="19" t="s">
        <v>102</v>
      </c>
      <c r="D1175" s="21" t="s">
        <v>301</v>
      </c>
      <c r="E1175" s="11">
        <v>40400</v>
      </c>
      <c r="F1175" s="32">
        <v>58000</v>
      </c>
      <c r="G1175" s="11">
        <v>40400</v>
      </c>
      <c r="H1175" s="90">
        <f t="shared" si="90"/>
        <v>0</v>
      </c>
      <c r="I1175" s="90">
        <f t="shared" si="91"/>
        <v>58000</v>
      </c>
      <c r="J1175" s="118" t="str">
        <f t="shared" si="92"/>
        <v>ATRASADO</v>
      </c>
    </row>
    <row r="1176" spans="2:10">
      <c r="B1176" s="13" t="s">
        <v>298</v>
      </c>
      <c r="C1176" s="19" t="s">
        <v>102</v>
      </c>
      <c r="D1176" s="21" t="s">
        <v>302</v>
      </c>
      <c r="E1176" s="11">
        <v>40427</v>
      </c>
      <c r="F1176" s="32">
        <v>58000</v>
      </c>
      <c r="G1176" s="11">
        <v>40427</v>
      </c>
      <c r="H1176" s="90">
        <f t="shared" si="90"/>
        <v>0</v>
      </c>
      <c r="I1176" s="90">
        <f t="shared" si="91"/>
        <v>58000</v>
      </c>
      <c r="J1176" s="118" t="str">
        <f t="shared" si="92"/>
        <v>ATRASADO</v>
      </c>
    </row>
    <row r="1177" spans="2:10">
      <c r="B1177" s="13" t="s">
        <v>298</v>
      </c>
      <c r="C1177" s="19" t="s">
        <v>102</v>
      </c>
      <c r="D1177" s="21" t="s">
        <v>303</v>
      </c>
      <c r="E1177" s="11">
        <v>40462</v>
      </c>
      <c r="F1177" s="32">
        <v>58000</v>
      </c>
      <c r="G1177" s="11">
        <v>40462</v>
      </c>
      <c r="H1177" s="90">
        <f t="shared" si="90"/>
        <v>0</v>
      </c>
      <c r="I1177" s="90">
        <f t="shared" si="91"/>
        <v>58000</v>
      </c>
      <c r="J1177" s="118" t="str">
        <f t="shared" si="92"/>
        <v>ATRASADO</v>
      </c>
    </row>
    <row r="1178" spans="2:10">
      <c r="B1178" s="13"/>
      <c r="C1178" s="19"/>
      <c r="D1178" s="21"/>
      <c r="E1178" s="11"/>
      <c r="F1178" s="32"/>
      <c r="G1178" s="11"/>
    </row>
    <row r="1179" spans="2:10">
      <c r="B1179" s="13" t="s">
        <v>276</v>
      </c>
      <c r="C1179" s="19" t="s">
        <v>102</v>
      </c>
      <c r="D1179" s="12">
        <v>100000030</v>
      </c>
      <c r="E1179" s="10">
        <v>40908</v>
      </c>
      <c r="F1179" s="32">
        <v>145000</v>
      </c>
      <c r="G1179" s="27">
        <v>40908</v>
      </c>
      <c r="H1179" s="90">
        <f>IF(F1179&gt;0,0,"")</f>
        <v>0</v>
      </c>
      <c r="I1179" s="90">
        <f>IF(H1179=0,F1179,"")</f>
        <v>145000</v>
      </c>
      <c r="J1179" s="118" t="str">
        <f>IF(I1179&gt;0,"ATRASADO","")</f>
        <v>ATRASADO</v>
      </c>
    </row>
    <row r="1180" spans="2:10">
      <c r="B1180" s="13"/>
      <c r="C1180" s="19"/>
      <c r="D1180" s="12"/>
      <c r="E1180" s="10"/>
      <c r="F1180" s="32"/>
      <c r="G1180" s="27"/>
    </row>
    <row r="1181" spans="2:10">
      <c r="B1181" s="13" t="s">
        <v>524</v>
      </c>
      <c r="C1181" s="19" t="s">
        <v>102</v>
      </c>
      <c r="D1181" s="35" t="s">
        <v>522</v>
      </c>
      <c r="E1181" s="36">
        <v>40210</v>
      </c>
      <c r="F1181" s="32">
        <v>50000</v>
      </c>
      <c r="G1181" s="36">
        <v>40210</v>
      </c>
      <c r="H1181" s="90">
        <f>IF(F1181&gt;0,0,"")</f>
        <v>0</v>
      </c>
      <c r="I1181" s="90">
        <f>IF(H1181=0,F1181,"")</f>
        <v>50000</v>
      </c>
      <c r="J1181" s="118" t="str">
        <f>IF(I1181&gt;0,"ATRASADO","")</f>
        <v>ATRASADO</v>
      </c>
    </row>
    <row r="1182" spans="2:10">
      <c r="B1182" s="13" t="s">
        <v>524</v>
      </c>
      <c r="C1182" s="19" t="s">
        <v>102</v>
      </c>
      <c r="D1182" s="35" t="s">
        <v>523</v>
      </c>
      <c r="E1182" s="36">
        <v>40238</v>
      </c>
      <c r="F1182" s="32">
        <v>50000</v>
      </c>
      <c r="G1182" s="36">
        <v>40238</v>
      </c>
      <c r="H1182" s="90">
        <f>IF(F1182&gt;0,0,"")</f>
        <v>0</v>
      </c>
      <c r="I1182" s="90">
        <f>IF(H1182=0,F1182,"")</f>
        <v>50000</v>
      </c>
      <c r="J1182" s="118" t="str">
        <f>IF(I1182&gt;0,"ATRASADO","")</f>
        <v>ATRASADO</v>
      </c>
    </row>
    <row r="1183" spans="2:10">
      <c r="B1183" s="13"/>
      <c r="C1183" s="19"/>
      <c r="D1183" s="75"/>
      <c r="E1183" s="95"/>
      <c r="F1183" s="77"/>
      <c r="G1183" s="78"/>
    </row>
    <row r="1184" spans="2:10">
      <c r="B1184" s="13" t="s">
        <v>419</v>
      </c>
      <c r="C1184" s="19" t="s">
        <v>420</v>
      </c>
      <c r="D1184" s="35" t="s">
        <v>441</v>
      </c>
      <c r="E1184" s="36">
        <v>40659</v>
      </c>
      <c r="F1184" s="32">
        <v>525120.35</v>
      </c>
      <c r="G1184" s="36">
        <v>40659</v>
      </c>
      <c r="H1184" s="90">
        <f>IF(F1184&gt;0,0,"")</f>
        <v>0</v>
      </c>
      <c r="I1184" s="90">
        <f>IF(H1184=0,F1184,"")</f>
        <v>525120.35</v>
      </c>
      <c r="J1184" s="118" t="str">
        <f>IF(I1184&gt;0,"ATRASADO","")</f>
        <v>ATRASADO</v>
      </c>
    </row>
    <row r="1185" spans="2:10">
      <c r="B1185" s="13"/>
      <c r="C1185" s="19"/>
      <c r="D1185" s="35"/>
      <c r="E1185" s="36"/>
      <c r="F1185" s="32"/>
      <c r="G1185" s="36"/>
    </row>
    <row r="1186" spans="2:10">
      <c r="B1186" s="13" t="s">
        <v>305</v>
      </c>
      <c r="C1186" s="19" t="s">
        <v>102</v>
      </c>
      <c r="D1186" s="21" t="s">
        <v>304</v>
      </c>
      <c r="E1186" s="11">
        <v>40207</v>
      </c>
      <c r="F1186" s="32">
        <v>50000</v>
      </c>
      <c r="G1186" s="11">
        <v>40207</v>
      </c>
      <c r="H1186" s="90">
        <f t="shared" ref="H1186:H1191" si="93">IF(F1186&gt;0,0,"")</f>
        <v>0</v>
      </c>
      <c r="I1186" s="90">
        <f t="shared" ref="I1186:I1191" si="94">IF(H1186=0,F1186,"")</f>
        <v>50000</v>
      </c>
      <c r="J1186" s="118" t="str">
        <f t="shared" ref="J1186:J1191" si="95">IF(I1186&gt;0,"ATRASADO","")</f>
        <v>ATRASADO</v>
      </c>
    </row>
    <row r="1187" spans="2:10">
      <c r="B1187" s="13" t="s">
        <v>305</v>
      </c>
      <c r="C1187" s="19" t="s">
        <v>102</v>
      </c>
      <c r="D1187" s="21" t="s">
        <v>306</v>
      </c>
      <c r="E1187" s="11">
        <v>40207</v>
      </c>
      <c r="F1187" s="32">
        <v>50000</v>
      </c>
      <c r="G1187" s="11">
        <v>40207</v>
      </c>
      <c r="H1187" s="90">
        <f t="shared" si="93"/>
        <v>0</v>
      </c>
      <c r="I1187" s="90">
        <f t="shared" si="94"/>
        <v>50000</v>
      </c>
      <c r="J1187" s="118" t="str">
        <f t="shared" si="95"/>
        <v>ATRASADO</v>
      </c>
    </row>
    <row r="1188" spans="2:10">
      <c r="B1188" s="13" t="s">
        <v>305</v>
      </c>
      <c r="C1188" s="19" t="s">
        <v>102</v>
      </c>
      <c r="D1188" s="21" t="s">
        <v>307</v>
      </c>
      <c r="E1188" s="11">
        <v>40234</v>
      </c>
      <c r="F1188" s="32">
        <v>50000</v>
      </c>
      <c r="G1188" s="11">
        <v>40234</v>
      </c>
      <c r="H1188" s="90">
        <f t="shared" si="93"/>
        <v>0</v>
      </c>
      <c r="I1188" s="90">
        <f t="shared" si="94"/>
        <v>50000</v>
      </c>
      <c r="J1188" s="118" t="str">
        <f t="shared" si="95"/>
        <v>ATRASADO</v>
      </c>
    </row>
    <row r="1189" spans="2:10">
      <c r="B1189" s="13" t="s">
        <v>305</v>
      </c>
      <c r="C1189" s="19" t="s">
        <v>102</v>
      </c>
      <c r="D1189" s="21" t="s">
        <v>308</v>
      </c>
      <c r="E1189" s="11">
        <v>40247</v>
      </c>
      <c r="F1189" s="32">
        <v>50000</v>
      </c>
      <c r="G1189" s="11">
        <v>40247</v>
      </c>
      <c r="H1189" s="90">
        <f t="shared" si="93"/>
        <v>0</v>
      </c>
      <c r="I1189" s="90">
        <f t="shared" si="94"/>
        <v>50000</v>
      </c>
      <c r="J1189" s="118" t="str">
        <f t="shared" si="95"/>
        <v>ATRASADO</v>
      </c>
    </row>
    <row r="1190" spans="2:10">
      <c r="B1190" s="13" t="s">
        <v>305</v>
      </c>
      <c r="C1190" s="19" t="s">
        <v>102</v>
      </c>
      <c r="D1190" s="21" t="s">
        <v>309</v>
      </c>
      <c r="E1190" s="11">
        <v>40282</v>
      </c>
      <c r="F1190" s="32">
        <v>50000</v>
      </c>
      <c r="G1190" s="11">
        <v>40282</v>
      </c>
      <c r="H1190" s="90">
        <f t="shared" si="93"/>
        <v>0</v>
      </c>
      <c r="I1190" s="90">
        <f t="shared" si="94"/>
        <v>50000</v>
      </c>
      <c r="J1190" s="118" t="str">
        <f t="shared" si="95"/>
        <v>ATRASADO</v>
      </c>
    </row>
    <row r="1191" spans="2:10">
      <c r="B1191" s="13" t="s">
        <v>305</v>
      </c>
      <c r="C1191" s="19" t="s">
        <v>102</v>
      </c>
      <c r="D1191" s="21" t="s">
        <v>310</v>
      </c>
      <c r="E1191" s="11">
        <v>40318</v>
      </c>
      <c r="F1191" s="32">
        <v>50000</v>
      </c>
      <c r="G1191" s="11">
        <v>40318</v>
      </c>
      <c r="H1191" s="90">
        <f t="shared" si="93"/>
        <v>0</v>
      </c>
      <c r="I1191" s="90">
        <f t="shared" si="94"/>
        <v>50000</v>
      </c>
      <c r="J1191" s="118" t="str">
        <f t="shared" si="95"/>
        <v>ATRASADO</v>
      </c>
    </row>
    <row r="1192" spans="2:10">
      <c r="B1192" s="13"/>
      <c r="C1192" s="19"/>
      <c r="D1192" s="21"/>
      <c r="E1192" s="11"/>
      <c r="F1192" s="32"/>
      <c r="G1192" s="11"/>
    </row>
    <row r="1193" spans="2:10">
      <c r="B1193" s="13" t="s">
        <v>585</v>
      </c>
      <c r="C1193" s="19" t="s">
        <v>207</v>
      </c>
      <c r="D1193" s="21" t="s">
        <v>241</v>
      </c>
      <c r="E1193" s="11">
        <v>40025</v>
      </c>
      <c r="F1193" s="32">
        <v>1010792.92</v>
      </c>
      <c r="G1193" s="11">
        <v>40025</v>
      </c>
      <c r="H1193" s="90">
        <f>IF(F1193&gt;0,0,"")</f>
        <v>0</v>
      </c>
      <c r="I1193" s="90">
        <f>IF(H1193=0,F1193,"")</f>
        <v>1010792.92</v>
      </c>
      <c r="J1193" s="118" t="str">
        <f>IF(I1193&gt;0,"ATRASADO","")</f>
        <v>ATRASADO</v>
      </c>
    </row>
    <row r="1194" spans="2:10">
      <c r="B1194" s="13" t="s">
        <v>585</v>
      </c>
      <c r="C1194" s="19" t="s">
        <v>207</v>
      </c>
      <c r="D1194" s="21" t="s">
        <v>242</v>
      </c>
      <c r="E1194" s="11">
        <v>40045</v>
      </c>
      <c r="F1194" s="32">
        <v>200761.2</v>
      </c>
      <c r="G1194" s="11">
        <v>40045</v>
      </c>
      <c r="H1194" s="90">
        <f>IF(F1194&gt;0,0,"")</f>
        <v>0</v>
      </c>
      <c r="I1194" s="90">
        <f>IF(H1194=0,F1194,"")</f>
        <v>200761.2</v>
      </c>
      <c r="J1194" s="118" t="str">
        <f>IF(I1194&gt;0,"ATRASADO","")</f>
        <v>ATRASADO</v>
      </c>
    </row>
    <row r="1195" spans="2:10">
      <c r="B1195" s="13"/>
      <c r="C1195" s="19"/>
      <c r="D1195" s="21"/>
      <c r="E1195" s="11"/>
      <c r="F1195" s="32"/>
      <c r="G1195" s="11"/>
    </row>
    <row r="1196" spans="2:10">
      <c r="B1196" s="13" t="s">
        <v>311</v>
      </c>
      <c r="C1196" s="19" t="s">
        <v>102</v>
      </c>
      <c r="D1196" s="21" t="s">
        <v>451</v>
      </c>
      <c r="E1196" s="11">
        <v>41061</v>
      </c>
      <c r="F1196" s="32">
        <v>20000</v>
      </c>
      <c r="G1196" s="11">
        <v>41061</v>
      </c>
      <c r="H1196" s="90">
        <f t="shared" ref="H1196:H1201" si="96">IF(F1196&gt;0,0,"")</f>
        <v>0</v>
      </c>
      <c r="I1196" s="90">
        <f t="shared" ref="I1196:I1201" si="97">IF(H1196=0,F1196,"")</f>
        <v>20000</v>
      </c>
      <c r="J1196" s="118" t="str">
        <f t="shared" ref="J1196:J1201" si="98">IF(I1196&gt;0,"ATRASADO","")</f>
        <v>ATRASADO</v>
      </c>
    </row>
    <row r="1197" spans="2:10">
      <c r="B1197" s="13" t="s">
        <v>311</v>
      </c>
      <c r="C1197" s="19" t="s">
        <v>102</v>
      </c>
      <c r="D1197" s="21" t="s">
        <v>452</v>
      </c>
      <c r="E1197" s="11">
        <v>41061</v>
      </c>
      <c r="F1197" s="32">
        <v>20000</v>
      </c>
      <c r="G1197" s="11">
        <v>41061</v>
      </c>
      <c r="H1197" s="90">
        <f t="shared" si="96"/>
        <v>0</v>
      </c>
      <c r="I1197" s="90">
        <f t="shared" si="97"/>
        <v>20000</v>
      </c>
      <c r="J1197" s="118" t="str">
        <f t="shared" si="98"/>
        <v>ATRASADO</v>
      </c>
    </row>
    <row r="1198" spans="2:10">
      <c r="B1198" s="13" t="s">
        <v>311</v>
      </c>
      <c r="C1198" s="19" t="s">
        <v>102</v>
      </c>
      <c r="D1198" s="21" t="s">
        <v>453</v>
      </c>
      <c r="E1198" s="11">
        <v>41061</v>
      </c>
      <c r="F1198" s="32">
        <v>20000</v>
      </c>
      <c r="G1198" s="11">
        <v>41061</v>
      </c>
      <c r="H1198" s="90">
        <f t="shared" si="96"/>
        <v>0</v>
      </c>
      <c r="I1198" s="90">
        <f t="shared" si="97"/>
        <v>20000</v>
      </c>
      <c r="J1198" s="118" t="str">
        <f t="shared" si="98"/>
        <v>ATRASADO</v>
      </c>
    </row>
    <row r="1199" spans="2:10">
      <c r="B1199" s="13" t="s">
        <v>311</v>
      </c>
      <c r="C1199" s="19" t="s">
        <v>102</v>
      </c>
      <c r="D1199" s="21" t="s">
        <v>454</v>
      </c>
      <c r="E1199" s="11">
        <v>41061</v>
      </c>
      <c r="F1199" s="32">
        <v>20000</v>
      </c>
      <c r="G1199" s="11">
        <v>41061</v>
      </c>
      <c r="H1199" s="90">
        <f t="shared" si="96"/>
        <v>0</v>
      </c>
      <c r="I1199" s="90">
        <f t="shared" si="97"/>
        <v>20000</v>
      </c>
      <c r="J1199" s="118" t="str">
        <f t="shared" si="98"/>
        <v>ATRASADO</v>
      </c>
    </row>
    <row r="1200" spans="2:10">
      <c r="B1200" s="13" t="s">
        <v>311</v>
      </c>
      <c r="C1200" s="19" t="s">
        <v>102</v>
      </c>
      <c r="D1200" s="21" t="s">
        <v>455</v>
      </c>
      <c r="E1200" s="11">
        <v>41061</v>
      </c>
      <c r="F1200" s="32">
        <v>20000</v>
      </c>
      <c r="G1200" s="11">
        <v>41061</v>
      </c>
      <c r="H1200" s="90">
        <f t="shared" si="96"/>
        <v>0</v>
      </c>
      <c r="I1200" s="90">
        <f t="shared" si="97"/>
        <v>20000</v>
      </c>
      <c r="J1200" s="118" t="str">
        <f t="shared" si="98"/>
        <v>ATRASADO</v>
      </c>
    </row>
    <row r="1201" spans="2:10">
      <c r="B1201" s="13" t="s">
        <v>311</v>
      </c>
      <c r="C1201" s="19" t="s">
        <v>102</v>
      </c>
      <c r="D1201" s="21" t="s">
        <v>456</v>
      </c>
      <c r="E1201" s="11">
        <v>41212</v>
      </c>
      <c r="F1201" s="32">
        <v>20000</v>
      </c>
      <c r="G1201" s="11">
        <v>41212</v>
      </c>
      <c r="H1201" s="90">
        <f t="shared" si="96"/>
        <v>0</v>
      </c>
      <c r="I1201" s="90">
        <f t="shared" si="97"/>
        <v>20000</v>
      </c>
      <c r="J1201" s="118" t="str">
        <f t="shared" si="98"/>
        <v>ATRASADO</v>
      </c>
    </row>
    <row r="1202" spans="2:10">
      <c r="B1202" s="13"/>
      <c r="C1202" s="19"/>
      <c r="D1202" s="21"/>
      <c r="E1202" s="11"/>
      <c r="F1202" s="32"/>
      <c r="G1202" s="11"/>
    </row>
    <row r="1203" spans="2:10">
      <c r="B1203" s="13" t="s">
        <v>244</v>
      </c>
      <c r="C1203" s="19" t="s">
        <v>207</v>
      </c>
      <c r="D1203" s="35" t="s">
        <v>243</v>
      </c>
      <c r="E1203" s="36">
        <v>40416</v>
      </c>
      <c r="F1203" s="32">
        <v>158997.04</v>
      </c>
      <c r="G1203" s="36">
        <v>40416</v>
      </c>
      <c r="H1203" s="90">
        <f>IF(F1203&gt;0,0,"")</f>
        <v>0</v>
      </c>
      <c r="I1203" s="90">
        <f>IF(H1203=0,F1203,"")</f>
        <v>158997.04</v>
      </c>
      <c r="J1203" s="118" t="str">
        <f>IF(I1203&gt;0,"ATRASADO","")</f>
        <v>ATRASADO</v>
      </c>
    </row>
    <row r="1204" spans="2:10">
      <c r="B1204" s="13"/>
      <c r="C1204" s="19"/>
      <c r="D1204" s="35"/>
      <c r="E1204" s="36"/>
      <c r="F1204" s="32"/>
      <c r="G1204" s="36"/>
    </row>
    <row r="1205" spans="2:10">
      <c r="B1205" s="13" t="s">
        <v>681</v>
      </c>
      <c r="C1205" s="19" t="s">
        <v>381</v>
      </c>
      <c r="D1205" s="38" t="s">
        <v>37</v>
      </c>
      <c r="E1205" s="36">
        <v>40789</v>
      </c>
      <c r="F1205" s="32">
        <v>18666.48</v>
      </c>
      <c r="G1205" s="36">
        <v>40789</v>
      </c>
      <c r="H1205" s="90">
        <f>IF(F1205&gt;0,0,"")</f>
        <v>0</v>
      </c>
      <c r="I1205" s="90">
        <f>IF(H1205=0,F1205,"")</f>
        <v>18666.48</v>
      </c>
      <c r="J1205" s="118" t="str">
        <f>IF(I1205&gt;0,"ATRASADO","")</f>
        <v>ATRASADO</v>
      </c>
    </row>
    <row r="1206" spans="2:10">
      <c r="B1206" s="13"/>
      <c r="C1206" s="19"/>
      <c r="D1206" s="35"/>
      <c r="E1206" s="36"/>
      <c r="F1206" s="32"/>
      <c r="G1206" s="36"/>
    </row>
    <row r="1207" spans="2:10">
      <c r="B1207" s="107" t="s">
        <v>917</v>
      </c>
      <c r="C1207" s="19" t="s">
        <v>102</v>
      </c>
      <c r="D1207" s="35" t="s">
        <v>913</v>
      </c>
      <c r="E1207" s="36">
        <v>44324</v>
      </c>
      <c r="F1207" s="32">
        <v>35400</v>
      </c>
      <c r="G1207" s="36">
        <v>44324</v>
      </c>
      <c r="H1207" s="90">
        <f>IF(F1207&gt;0,0,"")</f>
        <v>0</v>
      </c>
      <c r="I1207" s="90">
        <f>IF(H1207=0,F1207,"")</f>
        <v>35400</v>
      </c>
      <c r="J1207" s="118" t="str">
        <f>IF(I1207&gt;0,"ATRASADO","")</f>
        <v>ATRASADO</v>
      </c>
    </row>
    <row r="1208" spans="2:10">
      <c r="B1208" s="13"/>
      <c r="C1208" s="19"/>
      <c r="D1208" s="35"/>
      <c r="E1208" s="36"/>
      <c r="F1208" s="32"/>
      <c r="G1208" s="36"/>
    </row>
    <row r="1209" spans="2:10">
      <c r="B1209" s="13" t="s">
        <v>388</v>
      </c>
      <c r="C1209" s="19" t="s">
        <v>102</v>
      </c>
      <c r="D1209" s="35" t="s">
        <v>387</v>
      </c>
      <c r="E1209" s="36">
        <v>40461</v>
      </c>
      <c r="F1209" s="32">
        <v>58000</v>
      </c>
      <c r="G1209" s="36">
        <v>40461</v>
      </c>
      <c r="H1209" s="90">
        <f>IF(F1209&gt;0,0,"")</f>
        <v>0</v>
      </c>
      <c r="I1209" s="90">
        <f>IF(H1209=0,F1209,"")</f>
        <v>58000</v>
      </c>
      <c r="J1209" s="118" t="str">
        <f>IF(I1209&gt;0,"ATRASADO","")</f>
        <v>ATRASADO</v>
      </c>
    </row>
    <row r="1210" spans="2:10">
      <c r="B1210" s="13" t="s">
        <v>388</v>
      </c>
      <c r="C1210" s="19" t="s">
        <v>102</v>
      </c>
      <c r="D1210" s="35" t="s">
        <v>389</v>
      </c>
      <c r="E1210" s="36">
        <v>40487</v>
      </c>
      <c r="F1210" s="32">
        <v>58000</v>
      </c>
      <c r="G1210" s="36">
        <v>40487</v>
      </c>
      <c r="H1210" s="90">
        <f>IF(F1210&gt;0,0,"")</f>
        <v>0</v>
      </c>
      <c r="I1210" s="90">
        <f>IF(H1210=0,F1210,"")</f>
        <v>58000</v>
      </c>
      <c r="J1210" s="118" t="str">
        <f>IF(I1210&gt;0,"ATRASADO","")</f>
        <v>ATRASADO</v>
      </c>
    </row>
    <row r="1211" spans="2:10">
      <c r="B1211" s="13" t="s">
        <v>388</v>
      </c>
      <c r="C1211" s="19" t="s">
        <v>102</v>
      </c>
      <c r="D1211" s="35" t="s">
        <v>390</v>
      </c>
      <c r="E1211" s="36">
        <v>40553</v>
      </c>
      <c r="F1211" s="32">
        <v>58000</v>
      </c>
      <c r="G1211" s="36">
        <v>40553</v>
      </c>
      <c r="H1211" s="90">
        <f>IF(F1211&gt;0,0,"")</f>
        <v>0</v>
      </c>
      <c r="I1211" s="90">
        <f>IF(H1211=0,F1211,"")</f>
        <v>58000</v>
      </c>
      <c r="J1211" s="118" t="str">
        <f>IF(I1211&gt;0,"ATRASADO","")</f>
        <v>ATRASADO</v>
      </c>
    </row>
    <row r="1212" spans="2:10">
      <c r="B1212" s="13" t="s">
        <v>388</v>
      </c>
      <c r="C1212" s="19" t="s">
        <v>102</v>
      </c>
      <c r="D1212" s="35" t="s">
        <v>391</v>
      </c>
      <c r="E1212" s="36">
        <v>40518</v>
      </c>
      <c r="F1212" s="32">
        <f>58000-56750</f>
        <v>1250</v>
      </c>
      <c r="G1212" s="36">
        <v>40518</v>
      </c>
      <c r="H1212" s="90">
        <f>IF(F1212&gt;0,0,"")</f>
        <v>0</v>
      </c>
      <c r="I1212" s="90">
        <f>IF(H1212=0,F1212,"")</f>
        <v>1250</v>
      </c>
      <c r="J1212" s="118" t="str">
        <f>IF(I1212&gt;0,"ATRASADO","")</f>
        <v>ATRASADO</v>
      </c>
    </row>
    <row r="1213" spans="2:10">
      <c r="B1213" s="13"/>
      <c r="C1213" s="19"/>
      <c r="D1213" s="35"/>
      <c r="E1213" s="36"/>
      <c r="F1213" s="32"/>
      <c r="G1213" s="36"/>
    </row>
    <row r="1214" spans="2:10">
      <c r="B1214" s="13" t="s">
        <v>253</v>
      </c>
      <c r="C1214" s="19" t="s">
        <v>254</v>
      </c>
      <c r="D1214" s="38" t="s">
        <v>269</v>
      </c>
      <c r="E1214" s="36">
        <v>40729</v>
      </c>
      <c r="F1214" s="32">
        <v>4810000</v>
      </c>
      <c r="G1214" s="36">
        <v>40729</v>
      </c>
      <c r="H1214" s="90">
        <f>IF(F1214&gt;0,0,"")</f>
        <v>0</v>
      </c>
      <c r="I1214" s="90">
        <f>IF(H1214=0,F1214,"")</f>
        <v>4810000</v>
      </c>
      <c r="J1214" s="118" t="str">
        <f>IF(I1214&gt;0,"ATRASADO","")</f>
        <v>ATRASADO</v>
      </c>
    </row>
    <row r="1215" spans="2:10">
      <c r="B1215" s="13"/>
      <c r="C1215" s="19"/>
      <c r="D1215" s="38"/>
      <c r="E1215" s="36"/>
      <c r="F1215" s="32"/>
      <c r="G1215" s="36"/>
    </row>
    <row r="1216" spans="2:10">
      <c r="B1216" s="13" t="s">
        <v>383</v>
      </c>
      <c r="C1216" s="19" t="s">
        <v>381</v>
      </c>
      <c r="D1216" s="38" t="s">
        <v>382</v>
      </c>
      <c r="E1216" s="36">
        <v>40755</v>
      </c>
      <c r="F1216" s="32">
        <v>66000</v>
      </c>
      <c r="G1216" s="36">
        <v>40755</v>
      </c>
      <c r="H1216" s="90">
        <f>IF(F1216&gt;0,0,"")</f>
        <v>0</v>
      </c>
      <c r="I1216" s="90">
        <f>IF(H1216=0,F1216,"")</f>
        <v>66000</v>
      </c>
      <c r="J1216" s="118" t="str">
        <f>IF(I1216&gt;0,"ATRASADO","")</f>
        <v>ATRASADO</v>
      </c>
    </row>
    <row r="1217" spans="2:10">
      <c r="B1217" s="13" t="s">
        <v>383</v>
      </c>
      <c r="C1217" s="19" t="s">
        <v>381</v>
      </c>
      <c r="D1217" s="38" t="s">
        <v>458</v>
      </c>
      <c r="E1217" s="36">
        <v>39989</v>
      </c>
      <c r="F1217" s="32">
        <v>20000</v>
      </c>
      <c r="G1217" s="36">
        <v>39989</v>
      </c>
      <c r="H1217" s="90">
        <f>IF(F1217&gt;0,0,"")</f>
        <v>0</v>
      </c>
      <c r="I1217" s="90">
        <f>IF(H1217=0,F1217,"")</f>
        <v>20000</v>
      </c>
      <c r="J1217" s="118" t="str">
        <f>IF(I1217&gt;0,"ATRASADO","")</f>
        <v>ATRASADO</v>
      </c>
    </row>
    <row r="1218" spans="2:10">
      <c r="B1218" s="13"/>
      <c r="C1218" s="19"/>
      <c r="D1218" s="38"/>
      <c r="E1218" s="36"/>
      <c r="F1218" s="32"/>
      <c r="G1218" s="36"/>
    </row>
    <row r="1219" spans="2:10">
      <c r="B1219" s="13" t="s">
        <v>422</v>
      </c>
      <c r="C1219" s="19" t="s">
        <v>553</v>
      </c>
      <c r="D1219" s="35" t="s">
        <v>421</v>
      </c>
      <c r="E1219" s="36">
        <v>40387</v>
      </c>
      <c r="F1219" s="32">
        <v>192125.2</v>
      </c>
      <c r="G1219" s="36">
        <v>40387</v>
      </c>
      <c r="H1219" s="90">
        <f>IF(F1219&gt;0,0,"")</f>
        <v>0</v>
      </c>
      <c r="I1219" s="90">
        <f>IF(H1219=0,F1219,"")</f>
        <v>192125.2</v>
      </c>
      <c r="J1219" s="118" t="str">
        <f>IF(I1219&gt;0,"ATRASADO","")</f>
        <v>ATRASADO</v>
      </c>
    </row>
    <row r="1220" spans="2:10">
      <c r="B1220" s="13"/>
      <c r="C1220" s="19"/>
      <c r="D1220" s="35"/>
      <c r="E1220" s="36"/>
      <c r="F1220" s="32"/>
      <c r="G1220" s="36"/>
    </row>
    <row r="1221" spans="2:10">
      <c r="B1221" s="13" t="s">
        <v>313</v>
      </c>
      <c r="C1221" s="19" t="s">
        <v>102</v>
      </c>
      <c r="D1221" s="21" t="s">
        <v>312</v>
      </c>
      <c r="E1221" s="11">
        <v>40184</v>
      </c>
      <c r="F1221" s="32">
        <v>20000</v>
      </c>
      <c r="G1221" s="11">
        <v>40184</v>
      </c>
      <c r="H1221" s="90">
        <f t="shared" ref="H1221:H1227" si="99">IF(F1221&gt;0,0,"")</f>
        <v>0</v>
      </c>
      <c r="I1221" s="90">
        <f t="shared" ref="I1221:I1227" si="100">IF(H1221=0,F1221,"")</f>
        <v>20000</v>
      </c>
      <c r="J1221" s="118" t="str">
        <f t="shared" ref="J1221:J1227" si="101">IF(I1221&gt;0,"ATRASADO","")</f>
        <v>ATRASADO</v>
      </c>
    </row>
    <row r="1222" spans="2:10">
      <c r="B1222" s="13" t="s">
        <v>313</v>
      </c>
      <c r="C1222" s="19" t="s">
        <v>102</v>
      </c>
      <c r="D1222" s="21" t="s">
        <v>314</v>
      </c>
      <c r="E1222" s="11">
        <v>40209</v>
      </c>
      <c r="F1222" s="32">
        <v>20000</v>
      </c>
      <c r="G1222" s="11">
        <v>40209</v>
      </c>
      <c r="H1222" s="90">
        <f t="shared" si="99"/>
        <v>0</v>
      </c>
      <c r="I1222" s="90">
        <f t="shared" si="100"/>
        <v>20000</v>
      </c>
      <c r="J1222" s="118" t="str">
        <f t="shared" si="101"/>
        <v>ATRASADO</v>
      </c>
    </row>
    <row r="1223" spans="2:10">
      <c r="B1223" s="13" t="s">
        <v>313</v>
      </c>
      <c r="C1223" s="19" t="s">
        <v>102</v>
      </c>
      <c r="D1223" s="21" t="s">
        <v>315</v>
      </c>
      <c r="E1223" s="24">
        <v>40237</v>
      </c>
      <c r="F1223" s="32">
        <v>20000</v>
      </c>
      <c r="G1223" s="11">
        <v>40237</v>
      </c>
      <c r="H1223" s="90">
        <f t="shared" si="99"/>
        <v>0</v>
      </c>
      <c r="I1223" s="90">
        <f t="shared" si="100"/>
        <v>20000</v>
      </c>
      <c r="J1223" s="118" t="str">
        <f t="shared" si="101"/>
        <v>ATRASADO</v>
      </c>
    </row>
    <row r="1224" spans="2:10">
      <c r="B1224" s="13" t="s">
        <v>313</v>
      </c>
      <c r="C1224" s="19" t="s">
        <v>102</v>
      </c>
      <c r="D1224" s="21" t="s">
        <v>316</v>
      </c>
      <c r="E1224" s="11">
        <v>40326</v>
      </c>
      <c r="F1224" s="32">
        <v>20000</v>
      </c>
      <c r="G1224" s="11">
        <v>40326</v>
      </c>
      <c r="H1224" s="90">
        <f t="shared" si="99"/>
        <v>0</v>
      </c>
      <c r="I1224" s="90">
        <f t="shared" si="100"/>
        <v>20000</v>
      </c>
      <c r="J1224" s="118" t="str">
        <f t="shared" si="101"/>
        <v>ATRASADO</v>
      </c>
    </row>
    <row r="1225" spans="2:10">
      <c r="B1225" s="13" t="s">
        <v>313</v>
      </c>
      <c r="C1225" s="19" t="s">
        <v>102</v>
      </c>
      <c r="D1225" s="21" t="s">
        <v>317</v>
      </c>
      <c r="E1225" s="11">
        <v>40358</v>
      </c>
      <c r="F1225" s="32">
        <v>20000</v>
      </c>
      <c r="G1225" s="11">
        <v>40358</v>
      </c>
      <c r="H1225" s="90">
        <f t="shared" si="99"/>
        <v>0</v>
      </c>
      <c r="I1225" s="90">
        <f t="shared" si="100"/>
        <v>20000</v>
      </c>
      <c r="J1225" s="118" t="str">
        <f t="shared" si="101"/>
        <v>ATRASADO</v>
      </c>
    </row>
    <row r="1226" spans="2:10">
      <c r="B1226" s="13" t="s">
        <v>313</v>
      </c>
      <c r="C1226" s="19" t="s">
        <v>102</v>
      </c>
      <c r="D1226" s="21" t="s">
        <v>318</v>
      </c>
      <c r="E1226" s="11">
        <v>40388</v>
      </c>
      <c r="F1226" s="32">
        <v>20000</v>
      </c>
      <c r="G1226" s="11">
        <v>40388</v>
      </c>
      <c r="H1226" s="90">
        <f t="shared" si="99"/>
        <v>0</v>
      </c>
      <c r="I1226" s="90">
        <f t="shared" si="100"/>
        <v>20000</v>
      </c>
      <c r="J1226" s="118" t="str">
        <f t="shared" si="101"/>
        <v>ATRASADO</v>
      </c>
    </row>
    <row r="1227" spans="2:10">
      <c r="B1227" s="13" t="s">
        <v>313</v>
      </c>
      <c r="C1227" s="19" t="s">
        <v>102</v>
      </c>
      <c r="D1227" s="21" t="s">
        <v>319</v>
      </c>
      <c r="E1227" s="11">
        <v>40419</v>
      </c>
      <c r="F1227" s="32">
        <v>20000</v>
      </c>
      <c r="G1227" s="11">
        <v>40419</v>
      </c>
      <c r="H1227" s="90">
        <f t="shared" si="99"/>
        <v>0</v>
      </c>
      <c r="I1227" s="90">
        <f t="shared" si="100"/>
        <v>20000</v>
      </c>
      <c r="J1227" s="118" t="str">
        <f t="shared" si="101"/>
        <v>ATRASADO</v>
      </c>
    </row>
    <row r="1228" spans="2:10">
      <c r="B1228" s="13"/>
      <c r="C1228" s="19"/>
      <c r="D1228" s="21"/>
      <c r="E1228" s="11"/>
      <c r="F1228" s="32"/>
      <c r="G1228" s="11"/>
    </row>
    <row r="1229" spans="2:10">
      <c r="B1229" s="13" t="s">
        <v>321</v>
      </c>
      <c r="C1229" s="19" t="s">
        <v>322</v>
      </c>
      <c r="D1229" s="18" t="s">
        <v>320</v>
      </c>
      <c r="E1229" s="11">
        <v>40543</v>
      </c>
      <c r="F1229" s="32">
        <v>5875000</v>
      </c>
      <c r="G1229" s="11">
        <v>40543</v>
      </c>
      <c r="H1229" s="90">
        <f>IF(F1229&gt;0,0,"")</f>
        <v>0</v>
      </c>
      <c r="I1229" s="90">
        <f>IF(H1229=0,F1229,"")</f>
        <v>5875000</v>
      </c>
      <c r="J1229" s="118" t="str">
        <f>IF(I1229&gt;0,"ATRASADO","")</f>
        <v>ATRASADO</v>
      </c>
    </row>
    <row r="1230" spans="2:10">
      <c r="B1230" s="13"/>
      <c r="C1230" s="19"/>
      <c r="D1230" s="18"/>
      <c r="E1230" s="11"/>
      <c r="F1230" s="32"/>
      <c r="G1230" s="11"/>
    </row>
    <row r="1231" spans="2:10">
      <c r="B1231" s="13" t="s">
        <v>550</v>
      </c>
      <c r="C1231" s="19" t="s">
        <v>120</v>
      </c>
      <c r="D1231" s="35" t="s">
        <v>551</v>
      </c>
      <c r="E1231" s="36">
        <v>40653</v>
      </c>
      <c r="F1231" s="32">
        <v>43521.29</v>
      </c>
      <c r="G1231" s="36">
        <v>40653</v>
      </c>
      <c r="H1231" s="90">
        <f>IF(F1231&gt;0,0,"")</f>
        <v>0</v>
      </c>
      <c r="I1231" s="90">
        <f>IF(H1231=0,F1231,"")</f>
        <v>43521.29</v>
      </c>
      <c r="J1231" s="118" t="str">
        <f>IF(I1231&gt;0,"ATRASADO","")</f>
        <v>ATRASADO</v>
      </c>
    </row>
    <row r="1232" spans="2:10">
      <c r="B1232" s="13"/>
      <c r="C1232" s="19"/>
      <c r="D1232" s="35"/>
      <c r="E1232" s="36"/>
      <c r="F1232" s="32"/>
      <c r="G1232" s="36"/>
    </row>
    <row r="1233" spans="2:10">
      <c r="B1233" s="13" t="s">
        <v>393</v>
      </c>
      <c r="C1233" s="19" t="s">
        <v>102</v>
      </c>
      <c r="D1233" s="35" t="s">
        <v>460</v>
      </c>
      <c r="E1233" s="36" t="s">
        <v>459</v>
      </c>
      <c r="F1233" s="32">
        <v>23200</v>
      </c>
      <c r="G1233" s="36" t="s">
        <v>459</v>
      </c>
      <c r="H1233" s="90">
        <f t="shared" ref="H1233:H1239" si="102">IF(F1233&gt;0,0,"")</f>
        <v>0</v>
      </c>
      <c r="I1233" s="90">
        <f t="shared" ref="I1233:I1239" si="103">IF(H1233=0,F1233,"")</f>
        <v>23200</v>
      </c>
      <c r="J1233" s="118" t="str">
        <f t="shared" ref="J1233:J1239" si="104">IF(I1233&gt;0,"ATRASADO","")</f>
        <v>ATRASADO</v>
      </c>
    </row>
    <row r="1234" spans="2:10">
      <c r="B1234" s="13" t="s">
        <v>393</v>
      </c>
      <c r="C1234" s="19" t="s">
        <v>102</v>
      </c>
      <c r="D1234" s="35" t="s">
        <v>461</v>
      </c>
      <c r="E1234" s="36" t="s">
        <v>459</v>
      </c>
      <c r="F1234" s="32">
        <v>23200</v>
      </c>
      <c r="G1234" s="36" t="s">
        <v>459</v>
      </c>
      <c r="H1234" s="90">
        <f t="shared" si="102"/>
        <v>0</v>
      </c>
      <c r="I1234" s="90">
        <f t="shared" si="103"/>
        <v>23200</v>
      </c>
      <c r="J1234" s="118" t="str">
        <f t="shared" si="104"/>
        <v>ATRASADO</v>
      </c>
    </row>
    <row r="1235" spans="2:10">
      <c r="B1235" s="13" t="s">
        <v>393</v>
      </c>
      <c r="C1235" s="19" t="s">
        <v>102</v>
      </c>
      <c r="D1235" s="35" t="s">
        <v>462</v>
      </c>
      <c r="E1235" s="36" t="s">
        <v>459</v>
      </c>
      <c r="F1235" s="32">
        <v>23200</v>
      </c>
      <c r="G1235" s="36" t="s">
        <v>459</v>
      </c>
      <c r="H1235" s="90">
        <f t="shared" si="102"/>
        <v>0</v>
      </c>
      <c r="I1235" s="90">
        <f t="shared" si="103"/>
        <v>23200</v>
      </c>
      <c r="J1235" s="118" t="str">
        <f t="shared" si="104"/>
        <v>ATRASADO</v>
      </c>
    </row>
    <row r="1236" spans="2:10">
      <c r="B1236" s="13" t="s">
        <v>393</v>
      </c>
      <c r="C1236" s="19" t="s">
        <v>102</v>
      </c>
      <c r="D1236" s="35" t="s">
        <v>463</v>
      </c>
      <c r="E1236" s="36">
        <v>40571</v>
      </c>
      <c r="F1236" s="32">
        <v>23200</v>
      </c>
      <c r="G1236" s="36">
        <v>40571</v>
      </c>
      <c r="H1236" s="90">
        <f t="shared" si="102"/>
        <v>0</v>
      </c>
      <c r="I1236" s="90">
        <f t="shared" si="103"/>
        <v>23200</v>
      </c>
      <c r="J1236" s="118" t="str">
        <f t="shared" si="104"/>
        <v>ATRASADO</v>
      </c>
    </row>
    <row r="1237" spans="2:10">
      <c r="B1237" s="13" t="s">
        <v>393</v>
      </c>
      <c r="C1237" s="19" t="s">
        <v>102</v>
      </c>
      <c r="D1237" s="35" t="s">
        <v>392</v>
      </c>
      <c r="E1237" s="36">
        <v>40623</v>
      </c>
      <c r="F1237" s="32">
        <v>23200</v>
      </c>
      <c r="G1237" s="36">
        <v>40623</v>
      </c>
      <c r="H1237" s="90">
        <f t="shared" si="102"/>
        <v>0</v>
      </c>
      <c r="I1237" s="90">
        <f t="shared" si="103"/>
        <v>23200</v>
      </c>
      <c r="J1237" s="118" t="str">
        <f t="shared" si="104"/>
        <v>ATRASADO</v>
      </c>
    </row>
    <row r="1238" spans="2:10">
      <c r="B1238" s="13" t="s">
        <v>393</v>
      </c>
      <c r="C1238" s="19" t="s">
        <v>102</v>
      </c>
      <c r="D1238" s="35" t="s">
        <v>394</v>
      </c>
      <c r="E1238" s="36">
        <v>40644</v>
      </c>
      <c r="F1238" s="32">
        <v>23200</v>
      </c>
      <c r="G1238" s="36">
        <v>40644</v>
      </c>
      <c r="H1238" s="90">
        <f t="shared" si="102"/>
        <v>0</v>
      </c>
      <c r="I1238" s="90">
        <f t="shared" si="103"/>
        <v>23200</v>
      </c>
      <c r="J1238" s="118" t="str">
        <f t="shared" si="104"/>
        <v>ATRASADO</v>
      </c>
    </row>
    <row r="1239" spans="2:10">
      <c r="B1239" s="13" t="s">
        <v>393</v>
      </c>
      <c r="C1239" s="19" t="s">
        <v>102</v>
      </c>
      <c r="D1239" s="35" t="s">
        <v>395</v>
      </c>
      <c r="E1239" s="36">
        <v>40644</v>
      </c>
      <c r="F1239" s="32">
        <v>23200</v>
      </c>
      <c r="G1239" s="36">
        <v>40644</v>
      </c>
      <c r="H1239" s="90">
        <f t="shared" si="102"/>
        <v>0</v>
      </c>
      <c r="I1239" s="90">
        <f t="shared" si="103"/>
        <v>23200</v>
      </c>
      <c r="J1239" s="118" t="str">
        <f t="shared" si="104"/>
        <v>ATRASADO</v>
      </c>
    </row>
    <row r="1240" spans="2:10">
      <c r="B1240" s="13"/>
      <c r="C1240" s="19"/>
      <c r="D1240" s="35"/>
      <c r="E1240" s="36"/>
      <c r="F1240" s="32"/>
      <c r="G1240" s="36"/>
    </row>
    <row r="1241" spans="2:10">
      <c r="B1241" s="13" t="s">
        <v>324</v>
      </c>
      <c r="C1241" s="19" t="s">
        <v>6</v>
      </c>
      <c r="D1241" s="21" t="s">
        <v>323</v>
      </c>
      <c r="E1241" s="11">
        <v>40268</v>
      </c>
      <c r="F1241" s="32">
        <v>79750</v>
      </c>
      <c r="G1241" s="11">
        <v>40268</v>
      </c>
      <c r="H1241" s="90">
        <f>IF(F1241&gt;0,0,"")</f>
        <v>0</v>
      </c>
      <c r="I1241" s="90">
        <f>IF(H1241=0,F1241,"")</f>
        <v>79750</v>
      </c>
      <c r="J1241" s="118" t="str">
        <f>IF(I1241&gt;0,"ATRASADO","")</f>
        <v>ATRASADO</v>
      </c>
    </row>
    <row r="1242" spans="2:10">
      <c r="B1242" s="13" t="s">
        <v>324</v>
      </c>
      <c r="C1242" s="19" t="s">
        <v>6</v>
      </c>
      <c r="D1242" s="21" t="s">
        <v>325</v>
      </c>
      <c r="E1242" s="11">
        <v>40298</v>
      </c>
      <c r="F1242" s="32">
        <v>171150</v>
      </c>
      <c r="G1242" s="11">
        <v>40298</v>
      </c>
      <c r="H1242" s="90">
        <f>IF(F1242&gt;0,0,"")</f>
        <v>0</v>
      </c>
      <c r="I1242" s="90">
        <f>IF(H1242=0,F1242,"")</f>
        <v>171150</v>
      </c>
      <c r="J1242" s="118" t="str">
        <f>IF(I1242&gt;0,"ATRASADO","")</f>
        <v>ATRASADO</v>
      </c>
    </row>
    <row r="1243" spans="2:10">
      <c r="B1243" s="13" t="s">
        <v>324</v>
      </c>
      <c r="C1243" s="19" t="s">
        <v>6</v>
      </c>
      <c r="D1243" s="21" t="s">
        <v>326</v>
      </c>
      <c r="E1243" s="11">
        <v>40329</v>
      </c>
      <c r="F1243" s="32">
        <v>163000</v>
      </c>
      <c r="G1243" s="11">
        <v>40329</v>
      </c>
      <c r="H1243" s="90">
        <f>IF(F1243&gt;0,0,"")</f>
        <v>0</v>
      </c>
      <c r="I1243" s="90">
        <f>IF(H1243=0,F1243,"")</f>
        <v>163000</v>
      </c>
      <c r="J1243" s="118" t="str">
        <f>IF(I1243&gt;0,"ATRASADO","")</f>
        <v>ATRASADO</v>
      </c>
    </row>
    <row r="1244" spans="2:10">
      <c r="B1244" s="13" t="s">
        <v>324</v>
      </c>
      <c r="C1244" s="19" t="s">
        <v>6</v>
      </c>
      <c r="D1244" s="21" t="s">
        <v>327</v>
      </c>
      <c r="E1244" s="11">
        <v>40359</v>
      </c>
      <c r="F1244" s="32">
        <v>179300</v>
      </c>
      <c r="G1244" s="11">
        <v>40359</v>
      </c>
      <c r="H1244" s="90">
        <f>IF(F1244&gt;0,0,"")</f>
        <v>0</v>
      </c>
      <c r="I1244" s="90">
        <f>IF(H1244=0,F1244,"")</f>
        <v>179300</v>
      </c>
      <c r="J1244" s="118" t="str">
        <f>IF(I1244&gt;0,"ATRASADO","")</f>
        <v>ATRASADO</v>
      </c>
    </row>
    <row r="1245" spans="2:10">
      <c r="B1245" s="13" t="s">
        <v>324</v>
      </c>
      <c r="C1245" s="19" t="s">
        <v>6</v>
      </c>
      <c r="D1245" s="21" t="s">
        <v>328</v>
      </c>
      <c r="E1245" s="11">
        <v>40390</v>
      </c>
      <c r="F1245" s="32">
        <v>65200</v>
      </c>
      <c r="G1245" s="11">
        <v>40390</v>
      </c>
      <c r="H1245" s="90">
        <f>IF(F1245&gt;0,0,"")</f>
        <v>0</v>
      </c>
      <c r="I1245" s="90">
        <f>IF(H1245=0,F1245,"")</f>
        <v>65200</v>
      </c>
      <c r="J1245" s="118" t="str">
        <f>IF(I1245&gt;0,"ATRASADO","")</f>
        <v>ATRASADO</v>
      </c>
    </row>
    <row r="1246" spans="2:10">
      <c r="B1246" s="13"/>
      <c r="C1246" s="19"/>
      <c r="D1246" s="21"/>
      <c r="E1246" s="11"/>
      <c r="F1246" s="32"/>
      <c r="G1246" s="11"/>
    </row>
    <row r="1247" spans="2:10">
      <c r="B1247" s="13" t="s">
        <v>423</v>
      </c>
      <c r="C1247" s="19" t="s">
        <v>138</v>
      </c>
      <c r="D1247" s="44">
        <v>100024380</v>
      </c>
      <c r="E1247" s="36">
        <v>40297</v>
      </c>
      <c r="F1247" s="32">
        <v>69600</v>
      </c>
      <c r="G1247" s="36">
        <v>40297</v>
      </c>
      <c r="H1247" s="90">
        <f>IF(F1247&gt;0,0,"")</f>
        <v>0</v>
      </c>
      <c r="I1247" s="90">
        <f>IF(H1247=0,F1247,"")</f>
        <v>69600</v>
      </c>
      <c r="J1247" s="118" t="str">
        <f>IF(I1247&gt;0,"ATRASADO","")</f>
        <v>ATRASADO</v>
      </c>
    </row>
    <row r="1248" spans="2:10">
      <c r="B1248" s="13"/>
      <c r="C1248" s="19"/>
      <c r="D1248" s="44"/>
      <c r="E1248" s="36"/>
      <c r="F1248" s="32"/>
      <c r="G1248" s="36"/>
    </row>
    <row r="1249" spans="2:10">
      <c r="B1249" s="13" t="s">
        <v>530</v>
      </c>
      <c r="C1249" s="19" t="s">
        <v>120</v>
      </c>
      <c r="D1249" s="35" t="s">
        <v>529</v>
      </c>
      <c r="E1249" s="36">
        <v>40011</v>
      </c>
      <c r="F1249" s="32">
        <v>86465.24</v>
      </c>
      <c r="G1249" s="36">
        <v>40011</v>
      </c>
      <c r="H1249" s="90">
        <f>IF(F1249&gt;0,0,"")</f>
        <v>0</v>
      </c>
      <c r="I1249" s="90">
        <f>IF(H1249=0,F1249,"")</f>
        <v>86465.24</v>
      </c>
      <c r="J1249" s="118" t="str">
        <f>IF(I1249&gt;0,"ATRASADO","")</f>
        <v>ATRASADO</v>
      </c>
    </row>
    <row r="1250" spans="2:10">
      <c r="B1250" s="13"/>
      <c r="C1250" s="19"/>
      <c r="D1250" s="35"/>
      <c r="E1250" s="36"/>
      <c r="F1250" s="32"/>
      <c r="G1250" s="36"/>
    </row>
    <row r="1251" spans="2:10">
      <c r="B1251" s="13" t="s">
        <v>543</v>
      </c>
      <c r="C1251" s="19" t="s">
        <v>102</v>
      </c>
      <c r="D1251" s="35" t="s">
        <v>540</v>
      </c>
      <c r="E1251" s="36">
        <v>41275</v>
      </c>
      <c r="F1251" s="32">
        <v>12470</v>
      </c>
      <c r="G1251" s="36">
        <v>41275</v>
      </c>
      <c r="H1251" s="90">
        <f>IF(F1251&gt;0,0,"")</f>
        <v>0</v>
      </c>
      <c r="I1251" s="90">
        <f>IF(H1251=0,F1251,"")</f>
        <v>12470</v>
      </c>
      <c r="J1251" s="118" t="str">
        <f>IF(I1251&gt;0,"ATRASADO","")</f>
        <v>ATRASADO</v>
      </c>
    </row>
    <row r="1252" spans="2:10">
      <c r="B1252" s="13" t="s">
        <v>543</v>
      </c>
      <c r="C1252" s="19" t="s">
        <v>102</v>
      </c>
      <c r="D1252" s="35" t="s">
        <v>541</v>
      </c>
      <c r="E1252" s="36">
        <v>41275</v>
      </c>
      <c r="F1252" s="32">
        <v>11310</v>
      </c>
      <c r="G1252" s="36">
        <v>41275</v>
      </c>
      <c r="H1252" s="90">
        <f>IF(F1252&gt;0,0,"")</f>
        <v>0</v>
      </c>
      <c r="I1252" s="90">
        <f>IF(H1252=0,F1252,"")</f>
        <v>11310</v>
      </c>
      <c r="J1252" s="118" t="str">
        <f>IF(I1252&gt;0,"ATRASADO","")</f>
        <v>ATRASADO</v>
      </c>
    </row>
    <row r="1253" spans="2:10">
      <c r="B1253" s="13" t="s">
        <v>543</v>
      </c>
      <c r="C1253" s="19" t="s">
        <v>102</v>
      </c>
      <c r="D1253" s="35" t="s">
        <v>542</v>
      </c>
      <c r="E1253" s="36">
        <v>41162</v>
      </c>
      <c r="F1253" s="32">
        <v>26807.599999999999</v>
      </c>
      <c r="G1253" s="36">
        <v>41162</v>
      </c>
      <c r="H1253" s="90">
        <f>IF(F1253&gt;0,0,"")</f>
        <v>0</v>
      </c>
      <c r="I1253" s="90">
        <f>IF(H1253=0,F1253,"")</f>
        <v>26807.599999999999</v>
      </c>
      <c r="J1253" s="118" t="str">
        <f>IF(I1253&gt;0,"ATRASADO","")</f>
        <v>ATRASADO</v>
      </c>
    </row>
    <row r="1254" spans="2:10">
      <c r="B1254" s="13"/>
      <c r="C1254" s="19"/>
      <c r="D1254" s="35"/>
      <c r="E1254" s="36"/>
      <c r="F1254" s="32"/>
      <c r="G1254" s="36"/>
    </row>
    <row r="1255" spans="2:10">
      <c r="B1255" s="13" t="s">
        <v>329</v>
      </c>
      <c r="C1255" s="19" t="s">
        <v>102</v>
      </c>
      <c r="D1255" s="21" t="s">
        <v>229</v>
      </c>
      <c r="E1255" s="11">
        <v>40252</v>
      </c>
      <c r="F1255" s="32">
        <v>92800</v>
      </c>
      <c r="G1255" s="11">
        <v>40252</v>
      </c>
      <c r="H1255" s="90">
        <f>IF(F1255&gt;0,0,"")</f>
        <v>0</v>
      </c>
      <c r="I1255" s="90">
        <f>IF(H1255=0,F1255,"")</f>
        <v>92800</v>
      </c>
      <c r="J1255" s="118" t="str">
        <f>IF(I1255&gt;0,"ATRASADO","")</f>
        <v>ATRASADO</v>
      </c>
    </row>
    <row r="1256" spans="2:10">
      <c r="B1256" s="13" t="s">
        <v>329</v>
      </c>
      <c r="C1256" s="19" t="s">
        <v>102</v>
      </c>
      <c r="D1256" s="21" t="s">
        <v>330</v>
      </c>
      <c r="E1256" s="11">
        <v>40376</v>
      </c>
      <c r="F1256" s="32">
        <v>92800</v>
      </c>
      <c r="G1256" s="11">
        <v>40376</v>
      </c>
      <c r="H1256" s="90">
        <f>IF(F1256&gt;0,0,"")</f>
        <v>0</v>
      </c>
      <c r="I1256" s="90">
        <f>IF(H1256=0,F1256,"")</f>
        <v>92800</v>
      </c>
      <c r="J1256" s="118" t="str">
        <f>IF(I1256&gt;0,"ATRASADO","")</f>
        <v>ATRASADO</v>
      </c>
    </row>
    <row r="1257" spans="2:10">
      <c r="B1257" s="13"/>
      <c r="C1257" s="19"/>
      <c r="D1257" s="21"/>
      <c r="E1257" s="11"/>
      <c r="F1257" s="32"/>
      <c r="G1257" s="11"/>
    </row>
    <row r="1258" spans="2:10">
      <c r="B1258" s="13" t="s">
        <v>537</v>
      </c>
      <c r="C1258" s="19" t="s">
        <v>102</v>
      </c>
      <c r="D1258" s="35" t="s">
        <v>535</v>
      </c>
      <c r="E1258" s="36">
        <v>40581</v>
      </c>
      <c r="F1258" s="32">
        <v>29000</v>
      </c>
      <c r="G1258" s="36">
        <v>40581</v>
      </c>
      <c r="H1258" s="90">
        <f>IF(F1258&gt;0,0,"")</f>
        <v>0</v>
      </c>
      <c r="I1258" s="90">
        <f>IF(H1258=0,F1258,"")</f>
        <v>29000</v>
      </c>
      <c r="J1258" s="118" t="str">
        <f>IF(I1258&gt;0,"ATRASADO","")</f>
        <v>ATRASADO</v>
      </c>
    </row>
    <row r="1259" spans="2:10">
      <c r="B1259" s="13" t="s">
        <v>537</v>
      </c>
      <c r="C1259" s="19" t="s">
        <v>102</v>
      </c>
      <c r="D1259" s="35" t="s">
        <v>536</v>
      </c>
      <c r="E1259" s="36">
        <v>40550</v>
      </c>
      <c r="F1259" s="32">
        <v>29000</v>
      </c>
      <c r="G1259" s="36">
        <v>40550</v>
      </c>
      <c r="H1259" s="90">
        <f>IF(F1259&gt;0,0,"")</f>
        <v>0</v>
      </c>
      <c r="I1259" s="90">
        <f>IF(H1259=0,F1259,"")</f>
        <v>29000</v>
      </c>
      <c r="J1259" s="118" t="str">
        <f>IF(I1259&gt;0,"ATRASADO","")</f>
        <v>ATRASADO</v>
      </c>
    </row>
    <row r="1260" spans="2:10">
      <c r="B1260" s="13"/>
      <c r="C1260" s="19"/>
      <c r="D1260" s="35"/>
      <c r="E1260" s="36"/>
      <c r="F1260" s="32"/>
      <c r="G1260" s="36"/>
    </row>
    <row r="1261" spans="2:10">
      <c r="B1261" s="13" t="s">
        <v>545</v>
      </c>
      <c r="C1261" s="19" t="s">
        <v>102</v>
      </c>
      <c r="D1261" s="35" t="s">
        <v>544</v>
      </c>
      <c r="E1261" s="36">
        <v>40451</v>
      </c>
      <c r="F1261" s="32">
        <v>50000</v>
      </c>
      <c r="G1261" s="36">
        <v>40451</v>
      </c>
      <c r="H1261" s="90">
        <f>IF(F1261&gt;0,0,"")</f>
        <v>0</v>
      </c>
      <c r="I1261" s="90">
        <f>IF(H1261=0,F1261,"")</f>
        <v>50000</v>
      </c>
      <c r="J1261" s="118" t="str">
        <f>IF(I1261&gt;0,"ATRASADO","")</f>
        <v>ATRASADO</v>
      </c>
    </row>
    <row r="1262" spans="2:10">
      <c r="B1262" s="13"/>
      <c r="C1262" s="19"/>
      <c r="D1262" s="35"/>
      <c r="E1262" s="36"/>
      <c r="F1262" s="32"/>
      <c r="G1262" s="36"/>
    </row>
    <row r="1263" spans="2:10">
      <c r="B1263" s="13" t="s">
        <v>331</v>
      </c>
      <c r="C1263" s="19" t="s">
        <v>102</v>
      </c>
      <c r="D1263" s="21" t="s">
        <v>235</v>
      </c>
      <c r="E1263" s="11">
        <v>40268</v>
      </c>
      <c r="F1263" s="32">
        <v>23200</v>
      </c>
      <c r="G1263" s="11">
        <v>40268</v>
      </c>
      <c r="H1263" s="90">
        <f t="shared" ref="H1263:H1269" si="105">IF(F1263&gt;0,0,"")</f>
        <v>0</v>
      </c>
      <c r="I1263" s="90">
        <f t="shared" ref="I1263:I1269" si="106">IF(H1263=0,F1263,"")</f>
        <v>23200</v>
      </c>
      <c r="J1263" s="118" t="str">
        <f t="shared" ref="J1263:J1269" si="107">IF(I1263&gt;0,"ATRASADO","")</f>
        <v>ATRASADO</v>
      </c>
    </row>
    <row r="1264" spans="2:10">
      <c r="B1264" s="13" t="s">
        <v>331</v>
      </c>
      <c r="C1264" s="19" t="s">
        <v>102</v>
      </c>
      <c r="D1264" s="21" t="s">
        <v>236</v>
      </c>
      <c r="E1264" s="11">
        <v>40298</v>
      </c>
      <c r="F1264" s="32">
        <v>23200</v>
      </c>
      <c r="G1264" s="11">
        <v>40298</v>
      </c>
      <c r="H1264" s="90">
        <f t="shared" si="105"/>
        <v>0</v>
      </c>
      <c r="I1264" s="90">
        <f t="shared" si="106"/>
        <v>23200</v>
      </c>
      <c r="J1264" s="118" t="str">
        <f t="shared" si="107"/>
        <v>ATRASADO</v>
      </c>
    </row>
    <row r="1265" spans="2:10">
      <c r="B1265" s="13" t="s">
        <v>331</v>
      </c>
      <c r="C1265" s="19" t="s">
        <v>102</v>
      </c>
      <c r="D1265" s="21" t="s">
        <v>237</v>
      </c>
      <c r="E1265" s="11">
        <v>40329</v>
      </c>
      <c r="F1265" s="32">
        <v>23200</v>
      </c>
      <c r="G1265" s="11">
        <v>40329</v>
      </c>
      <c r="H1265" s="90">
        <f t="shared" si="105"/>
        <v>0</v>
      </c>
      <c r="I1265" s="90">
        <f t="shared" si="106"/>
        <v>23200</v>
      </c>
      <c r="J1265" s="118" t="str">
        <f t="shared" si="107"/>
        <v>ATRASADO</v>
      </c>
    </row>
    <row r="1266" spans="2:10">
      <c r="B1266" s="13" t="s">
        <v>331</v>
      </c>
      <c r="C1266" s="19" t="s">
        <v>102</v>
      </c>
      <c r="D1266" s="21" t="s">
        <v>332</v>
      </c>
      <c r="E1266" s="11">
        <v>40359</v>
      </c>
      <c r="F1266" s="32">
        <v>23200</v>
      </c>
      <c r="G1266" s="11">
        <v>40359</v>
      </c>
      <c r="H1266" s="90">
        <f t="shared" si="105"/>
        <v>0</v>
      </c>
      <c r="I1266" s="90">
        <f t="shared" si="106"/>
        <v>23200</v>
      </c>
      <c r="J1266" s="118" t="str">
        <f t="shared" si="107"/>
        <v>ATRASADO</v>
      </c>
    </row>
    <row r="1267" spans="2:10">
      <c r="B1267" s="13" t="s">
        <v>331</v>
      </c>
      <c r="C1267" s="19" t="s">
        <v>102</v>
      </c>
      <c r="D1267" s="21" t="s">
        <v>333</v>
      </c>
      <c r="E1267" s="11">
        <v>40389</v>
      </c>
      <c r="F1267" s="32">
        <v>23200</v>
      </c>
      <c r="G1267" s="11">
        <v>40389</v>
      </c>
      <c r="H1267" s="90">
        <f t="shared" si="105"/>
        <v>0</v>
      </c>
      <c r="I1267" s="90">
        <f t="shared" si="106"/>
        <v>23200</v>
      </c>
      <c r="J1267" s="118" t="str">
        <f t="shared" si="107"/>
        <v>ATRASADO</v>
      </c>
    </row>
    <row r="1268" spans="2:10">
      <c r="B1268" s="13" t="s">
        <v>331</v>
      </c>
      <c r="C1268" s="19" t="s">
        <v>102</v>
      </c>
      <c r="D1268" s="21" t="s">
        <v>334</v>
      </c>
      <c r="E1268" s="11">
        <v>40420</v>
      </c>
      <c r="F1268" s="32">
        <v>23200</v>
      </c>
      <c r="G1268" s="11">
        <v>40420</v>
      </c>
      <c r="H1268" s="90">
        <f t="shared" si="105"/>
        <v>0</v>
      </c>
      <c r="I1268" s="90">
        <f t="shared" si="106"/>
        <v>23200</v>
      </c>
      <c r="J1268" s="118" t="str">
        <f t="shared" si="107"/>
        <v>ATRASADO</v>
      </c>
    </row>
    <row r="1269" spans="2:10">
      <c r="B1269" s="13" t="s">
        <v>331</v>
      </c>
      <c r="C1269" s="19" t="s">
        <v>102</v>
      </c>
      <c r="D1269" s="21" t="s">
        <v>335</v>
      </c>
      <c r="E1269" s="11">
        <v>40451</v>
      </c>
      <c r="F1269" s="32">
        <v>23200</v>
      </c>
      <c r="G1269" s="11">
        <v>40451</v>
      </c>
      <c r="H1269" s="90">
        <f t="shared" si="105"/>
        <v>0</v>
      </c>
      <c r="I1269" s="90">
        <f t="shared" si="106"/>
        <v>23200</v>
      </c>
      <c r="J1269" s="118" t="str">
        <f t="shared" si="107"/>
        <v>ATRASADO</v>
      </c>
    </row>
    <row r="1270" spans="2:10">
      <c r="B1270" s="13"/>
      <c r="C1270" s="19"/>
      <c r="D1270" s="21"/>
      <c r="E1270" s="11"/>
      <c r="F1270" s="32"/>
      <c r="G1270" s="11"/>
    </row>
    <row r="1271" spans="2:10">
      <c r="B1271" s="13" t="s">
        <v>246</v>
      </c>
      <c r="C1271" s="19" t="s">
        <v>207</v>
      </c>
      <c r="D1271" s="35" t="s">
        <v>245</v>
      </c>
      <c r="E1271" s="36">
        <v>40576</v>
      </c>
      <c r="F1271" s="32">
        <v>379400.01</v>
      </c>
      <c r="G1271" s="36">
        <v>40576</v>
      </c>
      <c r="H1271" s="90">
        <f>IF(F1271&gt;0,0,"")</f>
        <v>0</v>
      </c>
      <c r="I1271" s="90">
        <f>IF(H1271=0,F1271,"")</f>
        <v>379400.01</v>
      </c>
      <c r="J1271" s="118" t="str">
        <f>IF(I1271&gt;0,"ATRASADO","")</f>
        <v>ATRASADO</v>
      </c>
    </row>
    <row r="1272" spans="2:10">
      <c r="B1272" s="13"/>
      <c r="C1272" s="19"/>
      <c r="D1272" s="35"/>
      <c r="E1272" s="36"/>
      <c r="F1272" s="32"/>
      <c r="G1272" s="36"/>
    </row>
    <row r="1273" spans="2:10">
      <c r="B1273" s="13" t="s">
        <v>337</v>
      </c>
      <c r="C1273" s="19" t="s">
        <v>102</v>
      </c>
      <c r="D1273" s="21" t="s">
        <v>551</v>
      </c>
      <c r="E1273" s="11">
        <v>40381</v>
      </c>
      <c r="F1273" s="32">
        <v>46600</v>
      </c>
      <c r="G1273" s="11">
        <v>40381</v>
      </c>
      <c r="H1273" s="90">
        <f>IF(F1273&gt;0,0,"")</f>
        <v>0</v>
      </c>
      <c r="I1273" s="90">
        <f>IF(H1273=0,F1273,"")</f>
        <v>46600</v>
      </c>
      <c r="J1273" s="118" t="str">
        <f>IF(I1273&gt;0,"ATRASADO","")</f>
        <v>ATRASADO</v>
      </c>
    </row>
    <row r="1274" spans="2:10">
      <c r="B1274" s="13" t="s">
        <v>337</v>
      </c>
      <c r="C1274" s="19" t="s">
        <v>102</v>
      </c>
      <c r="D1274" s="21" t="s">
        <v>336</v>
      </c>
      <c r="E1274" s="11">
        <v>40381</v>
      </c>
      <c r="F1274" s="32">
        <v>46600</v>
      </c>
      <c r="G1274" s="11">
        <v>40381</v>
      </c>
      <c r="H1274" s="90">
        <f>IF(F1274&gt;0,0,"")</f>
        <v>0</v>
      </c>
      <c r="I1274" s="90">
        <f>IF(H1274=0,F1274,"")</f>
        <v>46600</v>
      </c>
      <c r="J1274" s="118" t="str">
        <f>IF(I1274&gt;0,"ATRASADO","")</f>
        <v>ATRASADO</v>
      </c>
    </row>
    <row r="1275" spans="2:10">
      <c r="B1275" s="13" t="s">
        <v>337</v>
      </c>
      <c r="C1275" s="19" t="s">
        <v>102</v>
      </c>
      <c r="D1275" s="21" t="s">
        <v>336</v>
      </c>
      <c r="E1275" s="11">
        <v>40465</v>
      </c>
      <c r="F1275" s="32">
        <v>139200</v>
      </c>
      <c r="G1275" s="11">
        <v>40465</v>
      </c>
      <c r="H1275" s="90">
        <f>IF(F1275&gt;0,0,"")</f>
        <v>0</v>
      </c>
      <c r="I1275" s="90">
        <f>IF(H1275=0,F1275,"")</f>
        <v>139200</v>
      </c>
      <c r="J1275" s="118" t="str">
        <f>IF(I1275&gt;0,"ATRASADO","")</f>
        <v>ATRASADO</v>
      </c>
    </row>
    <row r="1276" spans="2:10">
      <c r="B1276" s="13"/>
      <c r="C1276" s="19"/>
      <c r="D1276" s="21"/>
      <c r="E1276" s="11"/>
      <c r="F1276" s="32"/>
      <c r="G1276" s="11"/>
    </row>
    <row r="1277" spans="2:10">
      <c r="B1277" s="13" t="s">
        <v>425</v>
      </c>
      <c r="C1277" s="19" t="s">
        <v>426</v>
      </c>
      <c r="D1277" s="35" t="s">
        <v>424</v>
      </c>
      <c r="E1277" s="36">
        <v>40671</v>
      </c>
      <c r="F1277" s="32">
        <v>52896</v>
      </c>
      <c r="G1277" s="36">
        <v>40671</v>
      </c>
      <c r="H1277" s="90">
        <f>IF(F1277&gt;0,0,"")</f>
        <v>0</v>
      </c>
      <c r="I1277" s="90">
        <f>IF(H1277=0,F1277,"")</f>
        <v>52896</v>
      </c>
      <c r="J1277" s="118" t="str">
        <f>IF(I1277&gt;0,"ATRASADO","")</f>
        <v>ATRASADO</v>
      </c>
    </row>
    <row r="1278" spans="2:10">
      <c r="B1278" s="13"/>
      <c r="C1278" s="19"/>
      <c r="D1278" s="35"/>
      <c r="E1278" s="36"/>
      <c r="F1278" s="32"/>
      <c r="G1278" s="36"/>
    </row>
    <row r="1279" spans="2:10">
      <c r="B1279" s="13" t="s">
        <v>549</v>
      </c>
      <c r="C1279" s="19" t="s">
        <v>21</v>
      </c>
      <c r="D1279" s="36" t="s">
        <v>546</v>
      </c>
      <c r="E1279" s="36">
        <v>40584</v>
      </c>
      <c r="F1279" s="32">
        <v>15030</v>
      </c>
      <c r="G1279" s="36">
        <v>40584</v>
      </c>
      <c r="H1279" s="90">
        <f>IF(F1279&gt;0,0,"")</f>
        <v>0</v>
      </c>
      <c r="I1279" s="90">
        <f>IF(H1279=0,F1279,"")</f>
        <v>15030</v>
      </c>
      <c r="J1279" s="118" t="str">
        <f>IF(I1279&gt;0,"ATRASADO","")</f>
        <v>ATRASADO</v>
      </c>
    </row>
    <row r="1280" spans="2:10">
      <c r="B1280" s="13" t="s">
        <v>549</v>
      </c>
      <c r="C1280" s="19" t="s">
        <v>21</v>
      </c>
      <c r="D1280" s="36" t="s">
        <v>547</v>
      </c>
      <c r="E1280" s="36">
        <v>40584</v>
      </c>
      <c r="F1280" s="32">
        <v>15030</v>
      </c>
      <c r="G1280" s="36">
        <v>40584</v>
      </c>
      <c r="H1280" s="90">
        <f>IF(F1280&gt;0,0,"")</f>
        <v>0</v>
      </c>
      <c r="I1280" s="90">
        <f>IF(H1280=0,F1280,"")</f>
        <v>15030</v>
      </c>
      <c r="J1280" s="118" t="str">
        <f>IF(I1280&gt;0,"ATRASADO","")</f>
        <v>ATRASADO</v>
      </c>
    </row>
    <row r="1281" spans="2:10">
      <c r="B1281" s="13" t="s">
        <v>549</v>
      </c>
      <c r="C1281" s="19" t="s">
        <v>21</v>
      </c>
      <c r="D1281" s="36" t="s">
        <v>548</v>
      </c>
      <c r="E1281" s="36">
        <v>40584</v>
      </c>
      <c r="F1281" s="32">
        <v>15030</v>
      </c>
      <c r="G1281" s="36">
        <v>40584</v>
      </c>
      <c r="H1281" s="90">
        <f>IF(F1281&gt;0,0,"")</f>
        <v>0</v>
      </c>
      <c r="I1281" s="90">
        <f>IF(H1281=0,F1281,"")</f>
        <v>15030</v>
      </c>
      <c r="J1281" s="118" t="str">
        <f>IF(I1281&gt;0,"ATRASADO","")</f>
        <v>ATRASADO</v>
      </c>
    </row>
    <row r="1282" spans="2:10">
      <c r="B1282" s="13"/>
      <c r="C1282" s="19"/>
      <c r="D1282" s="36"/>
      <c r="E1282" s="36"/>
      <c r="F1282" s="32"/>
      <c r="G1282" s="36"/>
    </row>
    <row r="1283" spans="2:10">
      <c r="B1283" s="13" t="s">
        <v>565</v>
      </c>
      <c r="C1283" s="19" t="s">
        <v>134</v>
      </c>
      <c r="D1283" s="35" t="s">
        <v>564</v>
      </c>
      <c r="E1283" s="36">
        <v>41061</v>
      </c>
      <c r="F1283" s="32">
        <v>20880</v>
      </c>
      <c r="G1283" s="36">
        <v>41061</v>
      </c>
      <c r="H1283" s="90">
        <f>IF(F1283&gt;0,0,"")</f>
        <v>0</v>
      </c>
      <c r="I1283" s="90">
        <f>IF(H1283=0,F1283,"")</f>
        <v>20880</v>
      </c>
      <c r="J1283" s="118" t="str">
        <f>IF(I1283&gt;0,"ATRASADO","")</f>
        <v>ATRASADO</v>
      </c>
    </row>
    <row r="1284" spans="2:10">
      <c r="B1284" s="13"/>
      <c r="C1284" s="19"/>
      <c r="D1284" s="35"/>
      <c r="E1284" s="36"/>
      <c r="F1284" s="32"/>
      <c r="G1284" s="36"/>
    </row>
    <row r="1285" spans="2:10">
      <c r="B1285" s="13" t="s">
        <v>248</v>
      </c>
      <c r="C1285" s="19" t="s">
        <v>207</v>
      </c>
      <c r="D1285" s="11" t="s">
        <v>247</v>
      </c>
      <c r="E1285" s="11">
        <v>39997</v>
      </c>
      <c r="F1285" s="32">
        <v>835488</v>
      </c>
      <c r="G1285" s="11">
        <v>39997</v>
      </c>
      <c r="H1285" s="90">
        <f>IF(F1285&gt;0,0,"")</f>
        <v>0</v>
      </c>
      <c r="I1285" s="90">
        <f>IF(H1285=0,F1285,"")</f>
        <v>835488</v>
      </c>
      <c r="J1285" s="118" t="str">
        <f>IF(I1285&gt;0,"ATRASADO","")</f>
        <v>ATRASADO</v>
      </c>
    </row>
    <row r="1286" spans="2:10">
      <c r="B1286" s="13"/>
      <c r="C1286" s="19"/>
      <c r="D1286" s="35"/>
      <c r="E1286" s="10"/>
      <c r="F1286" s="32"/>
      <c r="G1286" s="10"/>
    </row>
    <row r="1287" spans="2:10">
      <c r="B1287" s="13" t="s">
        <v>339</v>
      </c>
      <c r="C1287" s="19" t="s">
        <v>340</v>
      </c>
      <c r="D1287" s="21" t="s">
        <v>338</v>
      </c>
      <c r="E1287" s="11">
        <v>40323</v>
      </c>
      <c r="F1287" s="32">
        <v>124932</v>
      </c>
      <c r="G1287" s="11">
        <v>40323</v>
      </c>
      <c r="H1287" s="90">
        <f>IF(F1287&gt;0,0,"")</f>
        <v>0</v>
      </c>
      <c r="I1287" s="90">
        <f>IF(H1287=0,F1287,"")</f>
        <v>124932</v>
      </c>
      <c r="J1287" s="118" t="str">
        <f>IF(I1287&gt;0,"ATRASADO","")</f>
        <v>ATRASADO</v>
      </c>
    </row>
    <row r="1288" spans="2:10">
      <c r="B1288" s="13"/>
      <c r="C1288" s="19"/>
      <c r="D1288" s="21"/>
      <c r="E1288" s="11"/>
      <c r="F1288" s="32"/>
      <c r="G1288" s="11"/>
    </row>
    <row r="1289" spans="2:10">
      <c r="B1289" s="13" t="s">
        <v>341</v>
      </c>
      <c r="C1289" s="19" t="s">
        <v>120</v>
      </c>
      <c r="D1289" s="21" t="s">
        <v>342</v>
      </c>
      <c r="E1289" s="11">
        <v>40148</v>
      </c>
      <c r="F1289" s="32">
        <v>87193.600000000006</v>
      </c>
      <c r="G1289" s="11">
        <v>40148</v>
      </c>
      <c r="H1289" s="90">
        <f t="shared" ref="H1289:H1294" si="108">IF(F1289&gt;0,0,"")</f>
        <v>0</v>
      </c>
      <c r="I1289" s="90">
        <f t="shared" ref="I1289:I1294" si="109">IF(H1289=0,F1289,"")</f>
        <v>87193.600000000006</v>
      </c>
      <c r="J1289" s="118" t="str">
        <f t="shared" ref="J1289:J1294" si="110">IF(I1289&gt;0,"ATRASADO","")</f>
        <v>ATRASADO</v>
      </c>
    </row>
    <row r="1290" spans="2:10">
      <c r="B1290" s="13" t="s">
        <v>341</v>
      </c>
      <c r="C1290" s="19" t="s">
        <v>120</v>
      </c>
      <c r="D1290" s="21" t="s">
        <v>343</v>
      </c>
      <c r="E1290" s="11">
        <v>40154</v>
      </c>
      <c r="F1290" s="32">
        <v>16008</v>
      </c>
      <c r="G1290" s="11">
        <v>40154</v>
      </c>
      <c r="H1290" s="90">
        <f t="shared" si="108"/>
        <v>0</v>
      </c>
      <c r="I1290" s="90">
        <f t="shared" si="109"/>
        <v>16008</v>
      </c>
      <c r="J1290" s="118" t="str">
        <f t="shared" si="110"/>
        <v>ATRASADO</v>
      </c>
    </row>
    <row r="1291" spans="2:10">
      <c r="B1291" s="13" t="s">
        <v>341</v>
      </c>
      <c r="C1291" s="19" t="s">
        <v>120</v>
      </c>
      <c r="D1291" s="21" t="s">
        <v>344</v>
      </c>
      <c r="E1291" s="11">
        <v>40154</v>
      </c>
      <c r="F1291" s="32">
        <v>162400</v>
      </c>
      <c r="G1291" s="11">
        <v>40154</v>
      </c>
      <c r="H1291" s="90">
        <f t="shared" si="108"/>
        <v>0</v>
      </c>
      <c r="I1291" s="90">
        <f t="shared" si="109"/>
        <v>162400</v>
      </c>
      <c r="J1291" s="118" t="str">
        <f t="shared" si="110"/>
        <v>ATRASADO</v>
      </c>
    </row>
    <row r="1292" spans="2:10">
      <c r="B1292" s="13" t="s">
        <v>341</v>
      </c>
      <c r="C1292" s="19" t="s">
        <v>120</v>
      </c>
      <c r="D1292" s="21" t="s">
        <v>345</v>
      </c>
      <c r="E1292" s="11">
        <v>40219</v>
      </c>
      <c r="F1292" s="32">
        <v>45448.800000000003</v>
      </c>
      <c r="G1292" s="11">
        <v>40219</v>
      </c>
      <c r="H1292" s="90">
        <f t="shared" si="108"/>
        <v>0</v>
      </c>
      <c r="I1292" s="90">
        <f t="shared" si="109"/>
        <v>45448.800000000003</v>
      </c>
      <c r="J1292" s="118" t="str">
        <f t="shared" si="110"/>
        <v>ATRASADO</v>
      </c>
    </row>
    <row r="1293" spans="2:10">
      <c r="B1293" s="13" t="s">
        <v>341</v>
      </c>
      <c r="C1293" s="19" t="s">
        <v>120</v>
      </c>
      <c r="D1293" s="21" t="s">
        <v>346</v>
      </c>
      <c r="E1293" s="11">
        <v>40224</v>
      </c>
      <c r="F1293" s="32">
        <v>40368</v>
      </c>
      <c r="G1293" s="11">
        <v>40224</v>
      </c>
      <c r="H1293" s="90">
        <f t="shared" si="108"/>
        <v>0</v>
      </c>
      <c r="I1293" s="90">
        <f t="shared" si="109"/>
        <v>40368</v>
      </c>
      <c r="J1293" s="118" t="str">
        <f t="shared" si="110"/>
        <v>ATRASADO</v>
      </c>
    </row>
    <row r="1294" spans="2:10">
      <c r="B1294" s="13" t="s">
        <v>341</v>
      </c>
      <c r="C1294" s="19" t="s">
        <v>120</v>
      </c>
      <c r="D1294" s="21" t="s">
        <v>347</v>
      </c>
      <c r="E1294" s="11">
        <v>40249</v>
      </c>
      <c r="F1294" s="32">
        <v>162400</v>
      </c>
      <c r="G1294" s="11">
        <v>40249</v>
      </c>
      <c r="H1294" s="90">
        <f t="shared" si="108"/>
        <v>0</v>
      </c>
      <c r="I1294" s="90">
        <f t="shared" si="109"/>
        <v>162400</v>
      </c>
      <c r="J1294" s="118" t="str">
        <f t="shared" si="110"/>
        <v>ATRASADO</v>
      </c>
    </row>
    <row r="1295" spans="2:10">
      <c r="B1295" s="13"/>
      <c r="C1295" s="19"/>
      <c r="D1295" s="21"/>
      <c r="E1295" s="11"/>
      <c r="F1295" s="32"/>
      <c r="G1295" s="11"/>
    </row>
    <row r="1296" spans="2:10">
      <c r="B1296" s="13" t="s">
        <v>555</v>
      </c>
      <c r="C1296" s="19" t="s">
        <v>556</v>
      </c>
      <c r="D1296" s="35" t="s">
        <v>554</v>
      </c>
      <c r="E1296" s="36">
        <v>40245</v>
      </c>
      <c r="F1296" s="32">
        <v>33872</v>
      </c>
      <c r="G1296" s="36">
        <v>40261</v>
      </c>
      <c r="H1296" s="90">
        <f>IF(F1296&gt;0,0,"")</f>
        <v>0</v>
      </c>
      <c r="I1296" s="90">
        <f>IF(H1296=0,F1296,"")</f>
        <v>33872</v>
      </c>
      <c r="J1296" s="118" t="str">
        <f>IF(I1296&gt;0,"ATRASADO","")</f>
        <v>ATRASADO</v>
      </c>
    </row>
    <row r="1297" spans="2:10">
      <c r="B1297" s="13"/>
      <c r="C1297" s="19"/>
      <c r="D1297" s="35"/>
      <c r="E1297" s="36"/>
      <c r="F1297" s="32"/>
      <c r="G1297" s="36"/>
    </row>
    <row r="1298" spans="2:10">
      <c r="B1298" s="13" t="s">
        <v>349</v>
      </c>
      <c r="C1298" s="19" t="s">
        <v>350</v>
      </c>
      <c r="D1298" s="18" t="s">
        <v>348</v>
      </c>
      <c r="E1298" s="11">
        <v>40273</v>
      </c>
      <c r="F1298" s="32">
        <v>719347.47</v>
      </c>
      <c r="G1298" s="11">
        <v>40273</v>
      </c>
      <c r="H1298" s="90">
        <f>IF(F1298&gt;0,0,"")</f>
        <v>0</v>
      </c>
      <c r="I1298" s="90">
        <f>IF(H1298=0,F1298,"")</f>
        <v>719347.47</v>
      </c>
      <c r="J1298" s="118" t="str">
        <f>IF(I1298&gt;0,"ATRASADO","")</f>
        <v>ATRASADO</v>
      </c>
    </row>
    <row r="1299" spans="2:10">
      <c r="B1299" s="13" t="s">
        <v>349</v>
      </c>
      <c r="C1299" s="19" t="s">
        <v>350</v>
      </c>
      <c r="D1299" s="18" t="s">
        <v>351</v>
      </c>
      <c r="E1299" s="11">
        <v>40358</v>
      </c>
      <c r="F1299" s="32">
        <v>229093.72</v>
      </c>
      <c r="G1299" s="11">
        <v>40358</v>
      </c>
      <c r="H1299" s="90">
        <f>IF(F1299&gt;0,0,"")</f>
        <v>0</v>
      </c>
      <c r="I1299" s="90">
        <f>IF(H1299=0,F1299,"")</f>
        <v>229093.72</v>
      </c>
      <c r="J1299" s="118" t="str">
        <f>IF(I1299&gt;0,"ATRASADO","")</f>
        <v>ATRASADO</v>
      </c>
    </row>
    <row r="1300" spans="2:10">
      <c r="B1300" s="13"/>
      <c r="C1300" s="19"/>
      <c r="D1300" s="18"/>
      <c r="E1300" s="11"/>
      <c r="F1300" s="32"/>
      <c r="G1300" s="11"/>
    </row>
    <row r="1301" spans="2:10">
      <c r="B1301" s="13" t="s">
        <v>525</v>
      </c>
      <c r="C1301" s="19" t="s">
        <v>528</v>
      </c>
      <c r="D1301" s="35" t="s">
        <v>333</v>
      </c>
      <c r="E1301" s="36">
        <v>40231</v>
      </c>
      <c r="F1301" s="32">
        <v>17928.900000000001</v>
      </c>
      <c r="G1301" s="36">
        <v>40231</v>
      </c>
      <c r="H1301" s="90">
        <f>IF(F1301&gt;0,0,"")</f>
        <v>0</v>
      </c>
      <c r="I1301" s="90">
        <f>IF(H1301=0,F1301,"")</f>
        <v>17928.900000000001</v>
      </c>
      <c r="J1301" s="118" t="str">
        <f>IF(I1301&gt;0,"ATRASADO","")</f>
        <v>ATRASADO</v>
      </c>
    </row>
    <row r="1302" spans="2:10">
      <c r="B1302" s="13" t="s">
        <v>525</v>
      </c>
      <c r="C1302" s="19" t="s">
        <v>528</v>
      </c>
      <c r="D1302" s="35" t="s">
        <v>334</v>
      </c>
      <c r="E1302" s="36">
        <v>40261</v>
      </c>
      <c r="F1302" s="32">
        <v>19849.900000000001</v>
      </c>
      <c r="G1302" s="36">
        <v>40261</v>
      </c>
      <c r="H1302" s="90">
        <f>IF(F1302&gt;0,0,"")</f>
        <v>0</v>
      </c>
      <c r="I1302" s="90">
        <f>IF(H1302=0,F1302,"")</f>
        <v>19849.900000000001</v>
      </c>
      <c r="J1302" s="118" t="str">
        <f>IF(I1302&gt;0,"ATRASADO","")</f>
        <v>ATRASADO</v>
      </c>
    </row>
    <row r="1303" spans="2:10">
      <c r="B1303" s="13" t="s">
        <v>525</v>
      </c>
      <c r="C1303" s="19" t="s">
        <v>528</v>
      </c>
      <c r="D1303" s="35" t="s">
        <v>335</v>
      </c>
      <c r="E1303" s="36">
        <v>40291</v>
      </c>
      <c r="F1303" s="32">
        <v>19209.599999999999</v>
      </c>
      <c r="G1303" s="36">
        <v>40291</v>
      </c>
      <c r="H1303" s="90">
        <f>IF(F1303&gt;0,0,"")</f>
        <v>0</v>
      </c>
      <c r="I1303" s="90">
        <f>IF(H1303=0,F1303,"")</f>
        <v>19209.599999999999</v>
      </c>
      <c r="J1303" s="118" t="str">
        <f>IF(I1303&gt;0,"ATRASADO","")</f>
        <v>ATRASADO</v>
      </c>
    </row>
    <row r="1304" spans="2:10">
      <c r="B1304" s="13" t="s">
        <v>525</v>
      </c>
      <c r="C1304" s="19" t="s">
        <v>528</v>
      </c>
      <c r="D1304" s="35" t="s">
        <v>526</v>
      </c>
      <c r="E1304" s="36">
        <v>40322</v>
      </c>
      <c r="F1304" s="32">
        <v>19849.919999999998</v>
      </c>
      <c r="G1304" s="36">
        <v>40322</v>
      </c>
      <c r="H1304" s="90">
        <f>IF(F1304&gt;0,0,"")</f>
        <v>0</v>
      </c>
      <c r="I1304" s="90">
        <f>IF(H1304=0,F1304,"")</f>
        <v>19849.919999999998</v>
      </c>
      <c r="J1304" s="118" t="str">
        <f>IF(I1304&gt;0,"ATRASADO","")</f>
        <v>ATRASADO</v>
      </c>
    </row>
    <row r="1305" spans="2:10">
      <c r="B1305" s="13" t="s">
        <v>525</v>
      </c>
      <c r="C1305" s="19" t="s">
        <v>528</v>
      </c>
      <c r="D1305" s="35" t="s">
        <v>527</v>
      </c>
      <c r="E1305" s="36">
        <v>40353</v>
      </c>
      <c r="F1305" s="32">
        <v>19209.599999999999</v>
      </c>
      <c r="G1305" s="36">
        <v>40353</v>
      </c>
      <c r="H1305" s="90">
        <f>IF(F1305&gt;0,0,"")</f>
        <v>0</v>
      </c>
      <c r="I1305" s="90">
        <f>IF(H1305=0,F1305,"")</f>
        <v>19209.599999999999</v>
      </c>
      <c r="J1305" s="118" t="str">
        <f>IF(I1305&gt;0,"ATRASADO","")</f>
        <v>ATRASADO</v>
      </c>
    </row>
    <row r="1306" spans="2:10">
      <c r="B1306" s="13"/>
      <c r="C1306" s="19"/>
      <c r="D1306" s="35"/>
      <c r="E1306" s="36"/>
      <c r="F1306" s="32"/>
      <c r="G1306" s="36"/>
    </row>
    <row r="1307" spans="2:10">
      <c r="B1307" s="13" t="s">
        <v>353</v>
      </c>
      <c r="C1307" s="19" t="s">
        <v>340</v>
      </c>
      <c r="D1307" s="21" t="s">
        <v>352</v>
      </c>
      <c r="E1307" s="11">
        <v>40298</v>
      </c>
      <c r="F1307" s="32">
        <v>22457.599999999999</v>
      </c>
      <c r="G1307" s="11">
        <v>40298</v>
      </c>
      <c r="H1307" s="90">
        <f>IF(F1307&gt;0,0,"")</f>
        <v>0</v>
      </c>
      <c r="I1307" s="90">
        <f>IF(H1307=0,F1307,"")</f>
        <v>22457.599999999999</v>
      </c>
      <c r="J1307" s="118" t="str">
        <f>IF(I1307&gt;0,"ATRASADO","")</f>
        <v>ATRASADO</v>
      </c>
    </row>
    <row r="1308" spans="2:10">
      <c r="B1308" s="13" t="s">
        <v>353</v>
      </c>
      <c r="C1308" s="19" t="s">
        <v>340</v>
      </c>
      <c r="D1308" s="21" t="s">
        <v>354</v>
      </c>
      <c r="E1308" s="11">
        <v>40318</v>
      </c>
      <c r="F1308" s="32">
        <v>152656</v>
      </c>
      <c r="G1308" s="11">
        <v>40318</v>
      </c>
      <c r="H1308" s="90">
        <f>IF(F1308&gt;0,0,"")</f>
        <v>0</v>
      </c>
      <c r="I1308" s="90">
        <f>IF(H1308=0,F1308,"")</f>
        <v>152656</v>
      </c>
      <c r="J1308" s="118" t="str">
        <f>IF(I1308&gt;0,"ATRASADO","")</f>
        <v>ATRASADO</v>
      </c>
    </row>
    <row r="1309" spans="2:10">
      <c r="B1309" s="13"/>
      <c r="C1309" s="19"/>
      <c r="D1309" s="21"/>
      <c r="E1309" s="11"/>
      <c r="F1309" s="32"/>
      <c r="G1309" s="11"/>
    </row>
    <row r="1310" spans="2:10">
      <c r="B1310" s="13" t="s">
        <v>502</v>
      </c>
      <c r="C1310" s="19" t="s">
        <v>28</v>
      </c>
      <c r="D1310" s="35" t="s">
        <v>503</v>
      </c>
      <c r="E1310" s="36">
        <v>40792</v>
      </c>
      <c r="F1310" s="32">
        <v>335000</v>
      </c>
      <c r="G1310" s="36">
        <v>40792</v>
      </c>
      <c r="H1310" s="90">
        <f>IF(F1310&gt;0,0,"")</f>
        <v>0</v>
      </c>
      <c r="I1310" s="90">
        <f>IF(H1310=0,F1310,"")</f>
        <v>335000</v>
      </c>
      <c r="J1310" s="118" t="str">
        <f>IF(I1310&gt;0,"ATRASADO","")</f>
        <v>ATRASADO</v>
      </c>
    </row>
    <row r="1311" spans="2:10">
      <c r="B1311" s="13" t="s">
        <v>502</v>
      </c>
      <c r="C1311" s="19" t="s">
        <v>28</v>
      </c>
      <c r="D1311" s="35" t="s">
        <v>427</v>
      </c>
      <c r="E1311" s="36">
        <v>40792</v>
      </c>
      <c r="F1311" s="32">
        <v>335000</v>
      </c>
      <c r="G1311" s="36">
        <v>40792</v>
      </c>
      <c r="H1311" s="90">
        <f>IF(F1311&gt;0,0,"")</f>
        <v>0</v>
      </c>
      <c r="I1311" s="90">
        <f>IF(H1311=0,F1311,"")</f>
        <v>335000</v>
      </c>
      <c r="J1311" s="118" t="str">
        <f>IF(I1311&gt;0,"ATRASADO","")</f>
        <v>ATRASADO</v>
      </c>
    </row>
    <row r="1312" spans="2:10">
      <c r="B1312" s="13"/>
      <c r="C1312" s="19"/>
      <c r="D1312" s="35"/>
      <c r="E1312" s="36"/>
      <c r="F1312" s="32"/>
      <c r="G1312" s="36"/>
    </row>
    <row r="1313" spans="2:10">
      <c r="B1313" s="13" t="s">
        <v>534</v>
      </c>
      <c r="C1313" s="19" t="s">
        <v>159</v>
      </c>
      <c r="D1313" s="35" t="s">
        <v>533</v>
      </c>
      <c r="E1313" s="36">
        <v>40233</v>
      </c>
      <c r="F1313" s="32">
        <v>61998.98</v>
      </c>
      <c r="G1313" s="36">
        <v>40233</v>
      </c>
      <c r="H1313" s="90">
        <f>IF(F1313&gt;0,0,"")</f>
        <v>0</v>
      </c>
      <c r="I1313" s="90">
        <f>IF(H1313=0,F1313,"")</f>
        <v>61998.98</v>
      </c>
      <c r="J1313" s="118" t="str">
        <f>IF(I1313&gt;0,"ATRASADO","")</f>
        <v>ATRASADO</v>
      </c>
    </row>
    <row r="1314" spans="2:10">
      <c r="B1314" s="13"/>
      <c r="C1314" s="19"/>
      <c r="D1314" s="41"/>
      <c r="E1314" s="11"/>
      <c r="F1314" s="32"/>
      <c r="G1314" s="39"/>
    </row>
    <row r="1315" spans="2:10">
      <c r="B1315" s="13" t="s">
        <v>552</v>
      </c>
      <c r="C1315" s="19" t="s">
        <v>553</v>
      </c>
      <c r="D1315" s="41">
        <v>1500000158</v>
      </c>
      <c r="E1315" s="11">
        <v>42117</v>
      </c>
      <c r="F1315" s="32">
        <v>41536</v>
      </c>
      <c r="G1315" s="39">
        <v>42117</v>
      </c>
      <c r="H1315" s="90">
        <f>IF(F1315&gt;0,0,"")</f>
        <v>0</v>
      </c>
      <c r="I1315" s="90">
        <f>IF(H1315=0,F1315,"")</f>
        <v>41536</v>
      </c>
      <c r="J1315" s="118" t="str">
        <f>IF(I1315&gt;0,"ATRASADO","")</f>
        <v>ATRASADO</v>
      </c>
    </row>
    <row r="1316" spans="2:10">
      <c r="B1316" s="13"/>
      <c r="C1316" s="19"/>
      <c r="D1316" s="35"/>
      <c r="E1316" s="29"/>
      <c r="F1316" s="32"/>
      <c r="G1316" s="29"/>
    </row>
    <row r="1317" spans="2:10">
      <c r="B1317" s="13" t="s">
        <v>356</v>
      </c>
      <c r="C1317" s="19" t="s">
        <v>102</v>
      </c>
      <c r="D1317" s="21" t="s">
        <v>355</v>
      </c>
      <c r="E1317" s="11">
        <v>40088</v>
      </c>
      <c r="F1317" s="32">
        <v>30000</v>
      </c>
      <c r="G1317" s="11">
        <v>40088</v>
      </c>
      <c r="H1317" s="90">
        <f t="shared" ref="H1317:H1327" si="111">IF(F1317&gt;0,0,"")</f>
        <v>0</v>
      </c>
      <c r="I1317" s="90">
        <f t="shared" ref="I1317:I1327" si="112">IF(H1317=0,F1317,"")</f>
        <v>30000</v>
      </c>
      <c r="J1317" s="118" t="str">
        <f t="shared" ref="J1317:J1327" si="113">IF(I1317&gt;0,"ATRASADO","")</f>
        <v>ATRASADO</v>
      </c>
    </row>
    <row r="1318" spans="2:10">
      <c r="B1318" s="13" t="s">
        <v>356</v>
      </c>
      <c r="C1318" s="19" t="s">
        <v>102</v>
      </c>
      <c r="D1318" s="21" t="s">
        <v>357</v>
      </c>
      <c r="E1318" s="11">
        <v>40088</v>
      </c>
      <c r="F1318" s="32">
        <v>30000</v>
      </c>
      <c r="G1318" s="11">
        <v>40088</v>
      </c>
      <c r="H1318" s="90">
        <f t="shared" si="111"/>
        <v>0</v>
      </c>
      <c r="I1318" s="90">
        <f t="shared" si="112"/>
        <v>30000</v>
      </c>
      <c r="J1318" s="118" t="str">
        <f t="shared" si="113"/>
        <v>ATRASADO</v>
      </c>
    </row>
    <row r="1319" spans="2:10">
      <c r="B1319" s="13" t="s">
        <v>356</v>
      </c>
      <c r="C1319" s="19" t="s">
        <v>102</v>
      </c>
      <c r="D1319" s="21" t="s">
        <v>358</v>
      </c>
      <c r="E1319" s="11">
        <v>40121</v>
      </c>
      <c r="F1319" s="32">
        <v>30000</v>
      </c>
      <c r="G1319" s="11">
        <v>40121</v>
      </c>
      <c r="H1319" s="90">
        <f t="shared" si="111"/>
        <v>0</v>
      </c>
      <c r="I1319" s="90">
        <f t="shared" si="112"/>
        <v>30000</v>
      </c>
      <c r="J1319" s="118" t="str">
        <f t="shared" si="113"/>
        <v>ATRASADO</v>
      </c>
    </row>
    <row r="1320" spans="2:10">
      <c r="B1320" s="13" t="s">
        <v>356</v>
      </c>
      <c r="C1320" s="19" t="s">
        <v>102</v>
      </c>
      <c r="D1320" s="21" t="s">
        <v>359</v>
      </c>
      <c r="E1320" s="11">
        <v>40134</v>
      </c>
      <c r="F1320" s="32">
        <v>30000</v>
      </c>
      <c r="G1320" s="11">
        <v>40134</v>
      </c>
      <c r="H1320" s="90">
        <f t="shared" si="111"/>
        <v>0</v>
      </c>
      <c r="I1320" s="90">
        <f t="shared" si="112"/>
        <v>30000</v>
      </c>
      <c r="J1320" s="118" t="str">
        <f t="shared" si="113"/>
        <v>ATRASADO</v>
      </c>
    </row>
    <row r="1321" spans="2:10">
      <c r="B1321" s="13" t="s">
        <v>356</v>
      </c>
      <c r="C1321" s="19" t="s">
        <v>102</v>
      </c>
      <c r="D1321" s="21" t="s">
        <v>360</v>
      </c>
      <c r="E1321" s="11">
        <v>40193</v>
      </c>
      <c r="F1321" s="32">
        <v>30000</v>
      </c>
      <c r="G1321" s="11">
        <v>40193</v>
      </c>
      <c r="H1321" s="90">
        <f t="shared" si="111"/>
        <v>0</v>
      </c>
      <c r="I1321" s="90">
        <f t="shared" si="112"/>
        <v>30000</v>
      </c>
      <c r="J1321" s="118" t="str">
        <f t="shared" si="113"/>
        <v>ATRASADO</v>
      </c>
    </row>
    <row r="1322" spans="2:10">
      <c r="B1322" s="13" t="s">
        <v>356</v>
      </c>
      <c r="C1322" s="19" t="s">
        <v>102</v>
      </c>
      <c r="D1322" s="21" t="s">
        <v>361</v>
      </c>
      <c r="E1322" s="11">
        <v>40214</v>
      </c>
      <c r="F1322" s="32">
        <v>30000</v>
      </c>
      <c r="G1322" s="11">
        <v>40214</v>
      </c>
      <c r="H1322" s="90">
        <f t="shared" si="111"/>
        <v>0</v>
      </c>
      <c r="I1322" s="90">
        <f t="shared" si="112"/>
        <v>30000</v>
      </c>
      <c r="J1322" s="118" t="str">
        <f t="shared" si="113"/>
        <v>ATRASADO</v>
      </c>
    </row>
    <row r="1323" spans="2:10">
      <c r="B1323" s="13" t="s">
        <v>356</v>
      </c>
      <c r="C1323" s="19" t="s">
        <v>102</v>
      </c>
      <c r="D1323" s="21" t="s">
        <v>362</v>
      </c>
      <c r="E1323" s="11">
        <v>40241</v>
      </c>
      <c r="F1323" s="32">
        <v>30000</v>
      </c>
      <c r="G1323" s="11">
        <v>40241</v>
      </c>
      <c r="H1323" s="90">
        <f t="shared" si="111"/>
        <v>0</v>
      </c>
      <c r="I1323" s="90">
        <f t="shared" si="112"/>
        <v>30000</v>
      </c>
      <c r="J1323" s="118" t="str">
        <f t="shared" si="113"/>
        <v>ATRASADO</v>
      </c>
    </row>
    <row r="1324" spans="2:10">
      <c r="B1324" s="13" t="s">
        <v>356</v>
      </c>
      <c r="C1324" s="19" t="s">
        <v>102</v>
      </c>
      <c r="D1324" s="21" t="s">
        <v>363</v>
      </c>
      <c r="E1324" s="11">
        <v>40277</v>
      </c>
      <c r="F1324" s="32">
        <v>30000</v>
      </c>
      <c r="G1324" s="11">
        <v>40277</v>
      </c>
      <c r="H1324" s="90">
        <f t="shared" si="111"/>
        <v>0</v>
      </c>
      <c r="I1324" s="90">
        <f t="shared" si="112"/>
        <v>30000</v>
      </c>
      <c r="J1324" s="118" t="str">
        <f t="shared" si="113"/>
        <v>ATRASADO</v>
      </c>
    </row>
    <row r="1325" spans="2:10">
      <c r="B1325" s="13" t="s">
        <v>356</v>
      </c>
      <c r="C1325" s="19" t="s">
        <v>102</v>
      </c>
      <c r="D1325" s="21" t="s">
        <v>364</v>
      </c>
      <c r="E1325" s="11">
        <v>40323</v>
      </c>
      <c r="F1325" s="32">
        <v>30000</v>
      </c>
      <c r="G1325" s="11">
        <v>40323</v>
      </c>
      <c r="H1325" s="90">
        <f t="shared" si="111"/>
        <v>0</v>
      </c>
      <c r="I1325" s="90">
        <f t="shared" si="112"/>
        <v>30000</v>
      </c>
      <c r="J1325" s="118" t="str">
        <f t="shared" si="113"/>
        <v>ATRASADO</v>
      </c>
    </row>
    <row r="1326" spans="2:10">
      <c r="B1326" s="13" t="s">
        <v>356</v>
      </c>
      <c r="C1326" s="19" t="s">
        <v>102</v>
      </c>
      <c r="D1326" s="21" t="s">
        <v>365</v>
      </c>
      <c r="E1326" s="11">
        <v>40351</v>
      </c>
      <c r="F1326" s="32">
        <v>30000</v>
      </c>
      <c r="G1326" s="11">
        <v>40351</v>
      </c>
      <c r="H1326" s="90">
        <f t="shared" si="111"/>
        <v>0</v>
      </c>
      <c r="I1326" s="90">
        <f t="shared" si="112"/>
        <v>30000</v>
      </c>
      <c r="J1326" s="118" t="str">
        <f t="shared" si="113"/>
        <v>ATRASADO</v>
      </c>
    </row>
    <row r="1327" spans="2:10">
      <c r="B1327" s="13" t="s">
        <v>356</v>
      </c>
      <c r="C1327" s="19" t="s">
        <v>102</v>
      </c>
      <c r="D1327" s="21" t="s">
        <v>366</v>
      </c>
      <c r="E1327" s="11">
        <v>40394</v>
      </c>
      <c r="F1327" s="32">
        <v>30000</v>
      </c>
      <c r="G1327" s="11">
        <v>40394</v>
      </c>
      <c r="H1327" s="90">
        <f t="shared" si="111"/>
        <v>0</v>
      </c>
      <c r="I1327" s="90">
        <f t="shared" si="112"/>
        <v>30000</v>
      </c>
      <c r="J1327" s="118" t="str">
        <f t="shared" si="113"/>
        <v>ATRASADO</v>
      </c>
    </row>
    <row r="1328" spans="2:10">
      <c r="B1328" s="13"/>
      <c r="C1328" s="19"/>
      <c r="D1328" s="21"/>
      <c r="E1328" s="11"/>
      <c r="F1328" s="32"/>
      <c r="G1328" s="11"/>
    </row>
    <row r="1329" spans="2:10">
      <c r="B1329" s="13" t="s">
        <v>368</v>
      </c>
      <c r="C1329" s="19" t="s">
        <v>102</v>
      </c>
      <c r="D1329" s="21" t="s">
        <v>367</v>
      </c>
      <c r="E1329" s="11">
        <v>40234</v>
      </c>
      <c r="F1329" s="32">
        <v>25000</v>
      </c>
      <c r="G1329" s="11">
        <v>40234</v>
      </c>
      <c r="H1329" s="90">
        <f t="shared" ref="H1329:H1334" si="114">IF(F1329&gt;0,0,"")</f>
        <v>0</v>
      </c>
      <c r="I1329" s="90">
        <f t="shared" ref="I1329:I1334" si="115">IF(H1329=0,F1329,"")</f>
        <v>25000</v>
      </c>
      <c r="J1329" s="118" t="str">
        <f t="shared" ref="J1329:J1334" si="116">IF(I1329&gt;0,"ATRASADO","")</f>
        <v>ATRASADO</v>
      </c>
    </row>
    <row r="1330" spans="2:10">
      <c r="B1330" s="13" t="s">
        <v>368</v>
      </c>
      <c r="C1330" s="19" t="s">
        <v>102</v>
      </c>
      <c r="D1330" s="21" t="s">
        <v>369</v>
      </c>
      <c r="E1330" s="11">
        <v>40234</v>
      </c>
      <c r="F1330" s="32">
        <v>25000</v>
      </c>
      <c r="G1330" s="11">
        <v>40234</v>
      </c>
      <c r="H1330" s="90">
        <f t="shared" si="114"/>
        <v>0</v>
      </c>
      <c r="I1330" s="90">
        <f t="shared" si="115"/>
        <v>25000</v>
      </c>
      <c r="J1330" s="118" t="str">
        <f t="shared" si="116"/>
        <v>ATRASADO</v>
      </c>
    </row>
    <row r="1331" spans="2:10">
      <c r="B1331" s="13" t="s">
        <v>368</v>
      </c>
      <c r="C1331" s="19" t="s">
        <v>102</v>
      </c>
      <c r="D1331" s="21" t="s">
        <v>568</v>
      </c>
      <c r="E1331" s="11">
        <v>40284</v>
      </c>
      <c r="F1331" s="32">
        <v>25000</v>
      </c>
      <c r="G1331" s="11">
        <v>40284</v>
      </c>
      <c r="H1331" s="90">
        <f t="shared" si="114"/>
        <v>0</v>
      </c>
      <c r="I1331" s="90">
        <f t="shared" si="115"/>
        <v>25000</v>
      </c>
      <c r="J1331" s="118" t="str">
        <f t="shared" si="116"/>
        <v>ATRASADO</v>
      </c>
    </row>
    <row r="1332" spans="2:10">
      <c r="B1332" s="13" t="s">
        <v>368</v>
      </c>
      <c r="C1332" s="19" t="s">
        <v>102</v>
      </c>
      <c r="D1332" s="21" t="s">
        <v>370</v>
      </c>
      <c r="E1332" s="11">
        <v>40318</v>
      </c>
      <c r="F1332" s="32">
        <v>25000</v>
      </c>
      <c r="G1332" s="11">
        <v>40318</v>
      </c>
      <c r="H1332" s="90">
        <f t="shared" si="114"/>
        <v>0</v>
      </c>
      <c r="I1332" s="90">
        <f t="shared" si="115"/>
        <v>25000</v>
      </c>
      <c r="J1332" s="118" t="str">
        <f t="shared" si="116"/>
        <v>ATRASADO</v>
      </c>
    </row>
    <row r="1333" spans="2:10">
      <c r="B1333" s="13" t="s">
        <v>368</v>
      </c>
      <c r="C1333" s="19" t="s">
        <v>102</v>
      </c>
      <c r="D1333" s="21" t="s">
        <v>371</v>
      </c>
      <c r="E1333" s="11">
        <v>40351</v>
      </c>
      <c r="F1333" s="32">
        <v>25000</v>
      </c>
      <c r="G1333" s="11">
        <v>40351</v>
      </c>
      <c r="H1333" s="90">
        <f t="shared" si="114"/>
        <v>0</v>
      </c>
      <c r="I1333" s="90">
        <f t="shared" si="115"/>
        <v>25000</v>
      </c>
      <c r="J1333" s="118" t="str">
        <f t="shared" si="116"/>
        <v>ATRASADO</v>
      </c>
    </row>
    <row r="1334" spans="2:10">
      <c r="B1334" s="13" t="s">
        <v>368</v>
      </c>
      <c r="C1334" s="19" t="s">
        <v>102</v>
      </c>
      <c r="D1334" s="21" t="s">
        <v>372</v>
      </c>
      <c r="E1334" s="11">
        <v>40378</v>
      </c>
      <c r="F1334" s="32">
        <v>25000</v>
      </c>
      <c r="G1334" s="11">
        <v>40378</v>
      </c>
      <c r="H1334" s="90">
        <f t="shared" si="114"/>
        <v>0</v>
      </c>
      <c r="I1334" s="90">
        <f t="shared" si="115"/>
        <v>25000</v>
      </c>
      <c r="J1334" s="118" t="str">
        <f t="shared" si="116"/>
        <v>ATRASADO</v>
      </c>
    </row>
    <row r="1335" spans="2:10">
      <c r="B1335" s="13"/>
      <c r="C1335" s="19"/>
      <c r="D1335" s="21"/>
      <c r="E1335" s="11"/>
      <c r="F1335" s="32"/>
      <c r="G1335" s="11"/>
    </row>
    <row r="1336" spans="2:10">
      <c r="B1336" s="13" t="s">
        <v>428</v>
      </c>
      <c r="C1336" s="19" t="s">
        <v>471</v>
      </c>
      <c r="D1336" s="35" t="s">
        <v>427</v>
      </c>
      <c r="E1336" s="36">
        <v>40731</v>
      </c>
      <c r="F1336" s="32">
        <v>70523.820000000007</v>
      </c>
      <c r="G1336" s="36">
        <v>40731</v>
      </c>
      <c r="H1336" s="90">
        <f>IF(F1336&gt;0,0,"")</f>
        <v>0</v>
      </c>
      <c r="I1336" s="90">
        <f>IF(H1336=0,F1336,"")</f>
        <v>70523.820000000007</v>
      </c>
      <c r="J1336" s="118" t="str">
        <f>IF(I1336&gt;0,"ATRASADO","")</f>
        <v>ATRASADO</v>
      </c>
    </row>
    <row r="1337" spans="2:10">
      <c r="B1337" s="13"/>
      <c r="C1337" s="19"/>
      <c r="D1337" s="35"/>
      <c r="E1337" s="36"/>
      <c r="F1337" s="32"/>
      <c r="G1337" s="36"/>
    </row>
    <row r="1338" spans="2:10">
      <c r="B1338" s="13" t="s">
        <v>499</v>
      </c>
      <c r="C1338" s="19" t="s">
        <v>467</v>
      </c>
      <c r="D1338" s="49">
        <v>15000000024</v>
      </c>
      <c r="E1338" s="10">
        <v>40259</v>
      </c>
      <c r="F1338" s="32">
        <v>552686.92000000004</v>
      </c>
      <c r="G1338" s="10">
        <v>40259</v>
      </c>
      <c r="H1338" s="90">
        <f>IF(F1338&gt;0,0,"")</f>
        <v>0</v>
      </c>
      <c r="I1338" s="90">
        <f>IF(H1338=0,F1338,"")</f>
        <v>552686.92000000004</v>
      </c>
      <c r="J1338" s="118" t="str">
        <f>IF(I1338&gt;0,"ATRASADO","")</f>
        <v>ATRASADO</v>
      </c>
    </row>
    <row r="1339" spans="2:10">
      <c r="B1339" s="13" t="s">
        <v>499</v>
      </c>
      <c r="C1339" s="19" t="s">
        <v>467</v>
      </c>
      <c r="D1339" s="49">
        <v>15000000033</v>
      </c>
      <c r="E1339" s="10">
        <v>40040</v>
      </c>
      <c r="F1339" s="32">
        <v>78216.25</v>
      </c>
      <c r="G1339" s="10">
        <v>40040</v>
      </c>
      <c r="H1339" s="90">
        <f>IF(F1339&gt;0,0,"")</f>
        <v>0</v>
      </c>
      <c r="I1339" s="90">
        <f>IF(H1339=0,F1339,"")</f>
        <v>78216.25</v>
      </c>
      <c r="J1339" s="118" t="str">
        <f>IF(I1339&gt;0,"ATRASADO","")</f>
        <v>ATRASADO</v>
      </c>
    </row>
    <row r="1340" spans="2:10">
      <c r="B1340" s="13" t="s">
        <v>499</v>
      </c>
      <c r="C1340" s="19" t="s">
        <v>467</v>
      </c>
      <c r="D1340" s="49">
        <v>15000000034</v>
      </c>
      <c r="E1340" s="10">
        <v>40040</v>
      </c>
      <c r="F1340" s="32">
        <v>4755.21</v>
      </c>
      <c r="G1340" s="10">
        <v>40040</v>
      </c>
      <c r="H1340" s="90">
        <f>IF(F1340&gt;0,0,"")</f>
        <v>0</v>
      </c>
      <c r="I1340" s="90">
        <f>IF(H1340=0,F1340,"")</f>
        <v>4755.21</v>
      </c>
      <c r="J1340" s="118" t="str">
        <f>IF(I1340&gt;0,"ATRASADO","")</f>
        <v>ATRASADO</v>
      </c>
    </row>
    <row r="1341" spans="2:10">
      <c r="B1341" s="13" t="s">
        <v>499</v>
      </c>
      <c r="C1341" s="19" t="s">
        <v>467</v>
      </c>
      <c r="D1341" s="49">
        <v>15000000072</v>
      </c>
      <c r="E1341" s="10">
        <v>40274</v>
      </c>
      <c r="F1341" s="32">
        <v>137338.76999999999</v>
      </c>
      <c r="G1341" s="10">
        <v>40274</v>
      </c>
      <c r="H1341" s="90">
        <f>IF(F1341&gt;0,0,"")</f>
        <v>0</v>
      </c>
      <c r="I1341" s="90">
        <f>IF(H1341=0,F1341,"")</f>
        <v>137338.76999999999</v>
      </c>
      <c r="J1341" s="118" t="str">
        <f>IF(I1341&gt;0,"ATRASADO","")</f>
        <v>ATRASADO</v>
      </c>
    </row>
    <row r="1342" spans="2:10">
      <c r="B1342" s="13"/>
      <c r="C1342" s="19"/>
      <c r="D1342" s="35"/>
      <c r="E1342" s="10"/>
      <c r="F1342" s="73"/>
      <c r="G1342" s="10"/>
    </row>
    <row r="1343" spans="2:10">
      <c r="B1343" s="13" t="s">
        <v>263</v>
      </c>
      <c r="C1343" s="19" t="s">
        <v>28</v>
      </c>
      <c r="D1343" s="38" t="s">
        <v>262</v>
      </c>
      <c r="E1343" s="36">
        <v>40755</v>
      </c>
      <c r="F1343" s="32">
        <v>90000</v>
      </c>
      <c r="G1343" s="36">
        <v>40755</v>
      </c>
      <c r="H1343" s="90">
        <f t="shared" ref="H1343:H1352" si="117">IF(F1343&gt;0,0,"")</f>
        <v>0</v>
      </c>
      <c r="I1343" s="90">
        <f t="shared" ref="I1343:I1352" si="118">IF(H1343=0,F1343,"")</f>
        <v>90000</v>
      </c>
      <c r="J1343" s="118" t="str">
        <f t="shared" ref="J1343:J1352" si="119">IF(I1343&gt;0,"ATRASADO","")</f>
        <v>ATRASADO</v>
      </c>
    </row>
    <row r="1344" spans="2:10">
      <c r="B1344" s="13" t="s">
        <v>263</v>
      </c>
      <c r="C1344" s="19" t="s">
        <v>28</v>
      </c>
      <c r="D1344" s="38" t="s">
        <v>264</v>
      </c>
      <c r="E1344" s="36">
        <v>40786</v>
      </c>
      <c r="F1344" s="32">
        <v>90000</v>
      </c>
      <c r="G1344" s="36">
        <v>40786</v>
      </c>
      <c r="H1344" s="90">
        <f t="shared" si="117"/>
        <v>0</v>
      </c>
      <c r="I1344" s="90">
        <f t="shared" si="118"/>
        <v>90000</v>
      </c>
      <c r="J1344" s="118" t="str">
        <f t="shared" si="119"/>
        <v>ATRASADO</v>
      </c>
    </row>
    <row r="1345" spans="2:10">
      <c r="B1345" s="13" t="s">
        <v>263</v>
      </c>
      <c r="C1345" s="19" t="s">
        <v>28</v>
      </c>
      <c r="D1345" s="38" t="s">
        <v>265</v>
      </c>
      <c r="E1345" s="36">
        <v>40816</v>
      </c>
      <c r="F1345" s="32">
        <v>90000</v>
      </c>
      <c r="G1345" s="36">
        <v>40816</v>
      </c>
      <c r="H1345" s="90">
        <f t="shared" si="117"/>
        <v>0</v>
      </c>
      <c r="I1345" s="90">
        <f t="shared" si="118"/>
        <v>90000</v>
      </c>
      <c r="J1345" s="118" t="str">
        <f t="shared" si="119"/>
        <v>ATRASADO</v>
      </c>
    </row>
    <row r="1346" spans="2:10">
      <c r="B1346" s="13" t="s">
        <v>263</v>
      </c>
      <c r="C1346" s="19" t="s">
        <v>28</v>
      </c>
      <c r="D1346" s="38" t="s">
        <v>266</v>
      </c>
      <c r="E1346" s="36">
        <v>40847</v>
      </c>
      <c r="F1346" s="32">
        <v>90000</v>
      </c>
      <c r="G1346" s="36">
        <v>40847</v>
      </c>
      <c r="H1346" s="90">
        <f t="shared" si="117"/>
        <v>0</v>
      </c>
      <c r="I1346" s="90">
        <f t="shared" si="118"/>
        <v>90000</v>
      </c>
      <c r="J1346" s="118" t="str">
        <f t="shared" si="119"/>
        <v>ATRASADO</v>
      </c>
    </row>
    <row r="1347" spans="2:10">
      <c r="B1347" s="13" t="s">
        <v>263</v>
      </c>
      <c r="C1347" s="19" t="s">
        <v>28</v>
      </c>
      <c r="D1347" s="38" t="s">
        <v>267</v>
      </c>
      <c r="E1347" s="36">
        <v>40877</v>
      </c>
      <c r="F1347" s="32">
        <v>90000</v>
      </c>
      <c r="G1347" s="36">
        <v>40877</v>
      </c>
      <c r="H1347" s="90">
        <f t="shared" si="117"/>
        <v>0</v>
      </c>
      <c r="I1347" s="90">
        <f t="shared" si="118"/>
        <v>90000</v>
      </c>
      <c r="J1347" s="118" t="str">
        <f t="shared" si="119"/>
        <v>ATRASADO</v>
      </c>
    </row>
    <row r="1348" spans="2:10">
      <c r="B1348" s="13" t="s">
        <v>263</v>
      </c>
      <c r="C1348" s="19" t="s">
        <v>28</v>
      </c>
      <c r="D1348" s="38" t="s">
        <v>268</v>
      </c>
      <c r="E1348" s="36">
        <v>40908</v>
      </c>
      <c r="F1348" s="32">
        <v>90000</v>
      </c>
      <c r="G1348" s="36">
        <v>40908</v>
      </c>
      <c r="H1348" s="90">
        <f t="shared" si="117"/>
        <v>0</v>
      </c>
      <c r="I1348" s="90">
        <f t="shared" si="118"/>
        <v>90000</v>
      </c>
      <c r="J1348" s="118" t="str">
        <f t="shared" si="119"/>
        <v>ATRASADO</v>
      </c>
    </row>
    <row r="1349" spans="2:10">
      <c r="B1349" s="13" t="s">
        <v>263</v>
      </c>
      <c r="C1349" s="19" t="s">
        <v>28</v>
      </c>
      <c r="D1349" s="12" t="s">
        <v>269</v>
      </c>
      <c r="E1349" s="20">
        <v>41059</v>
      </c>
      <c r="F1349" s="32">
        <v>90000</v>
      </c>
      <c r="G1349" s="36">
        <v>41059</v>
      </c>
      <c r="H1349" s="90">
        <f t="shared" si="117"/>
        <v>0</v>
      </c>
      <c r="I1349" s="90">
        <f t="shared" si="118"/>
        <v>90000</v>
      </c>
      <c r="J1349" s="118" t="str">
        <f t="shared" si="119"/>
        <v>ATRASADO</v>
      </c>
    </row>
    <row r="1350" spans="2:10">
      <c r="B1350" s="13" t="s">
        <v>263</v>
      </c>
      <c r="C1350" s="19" t="s">
        <v>28</v>
      </c>
      <c r="D1350" s="12" t="s">
        <v>270</v>
      </c>
      <c r="E1350" s="20">
        <v>41059</v>
      </c>
      <c r="F1350" s="32">
        <v>90000</v>
      </c>
      <c r="G1350" s="36">
        <v>41059</v>
      </c>
      <c r="H1350" s="90">
        <f t="shared" si="117"/>
        <v>0</v>
      </c>
      <c r="I1350" s="90">
        <f t="shared" si="118"/>
        <v>90000</v>
      </c>
      <c r="J1350" s="118" t="str">
        <f t="shared" si="119"/>
        <v>ATRASADO</v>
      </c>
    </row>
    <row r="1351" spans="2:10">
      <c r="B1351" s="13" t="s">
        <v>263</v>
      </c>
      <c r="C1351" s="19" t="s">
        <v>28</v>
      </c>
      <c r="D1351" s="12" t="s">
        <v>271</v>
      </c>
      <c r="E1351" s="20">
        <v>41090</v>
      </c>
      <c r="F1351" s="32">
        <v>90000</v>
      </c>
      <c r="G1351" s="36">
        <v>41090</v>
      </c>
      <c r="H1351" s="90">
        <f t="shared" si="117"/>
        <v>0</v>
      </c>
      <c r="I1351" s="90">
        <f t="shared" si="118"/>
        <v>90000</v>
      </c>
      <c r="J1351" s="118" t="str">
        <f t="shared" si="119"/>
        <v>ATRASADO</v>
      </c>
    </row>
    <row r="1352" spans="2:10">
      <c r="B1352" s="13" t="s">
        <v>263</v>
      </c>
      <c r="C1352" s="19" t="s">
        <v>28</v>
      </c>
      <c r="D1352" s="12" t="s">
        <v>272</v>
      </c>
      <c r="E1352" s="11">
        <v>41121</v>
      </c>
      <c r="F1352" s="32">
        <v>90000</v>
      </c>
      <c r="G1352" s="36">
        <v>41121</v>
      </c>
      <c r="H1352" s="90">
        <f t="shared" si="117"/>
        <v>0</v>
      </c>
      <c r="I1352" s="90">
        <f t="shared" si="118"/>
        <v>90000</v>
      </c>
      <c r="J1352" s="118" t="str">
        <f t="shared" si="119"/>
        <v>ATRASADO</v>
      </c>
    </row>
    <row r="1353" spans="2:10">
      <c r="B1353" s="13"/>
      <c r="C1353" s="19"/>
      <c r="D1353" s="12"/>
      <c r="E1353" s="11"/>
      <c r="F1353" s="32"/>
      <c r="G1353" s="36"/>
    </row>
    <row r="1354" spans="2:10">
      <c r="B1354" s="13" t="s">
        <v>431</v>
      </c>
      <c r="C1354" s="19" t="s">
        <v>432</v>
      </c>
      <c r="D1354" s="35" t="s">
        <v>430</v>
      </c>
      <c r="E1354" s="36">
        <v>40389</v>
      </c>
      <c r="F1354" s="32">
        <f>528000-488000</f>
        <v>40000</v>
      </c>
      <c r="G1354" s="36">
        <v>40389</v>
      </c>
      <c r="H1354" s="90">
        <f>IF(F1354&gt;0,0,"")</f>
        <v>0</v>
      </c>
      <c r="I1354" s="90">
        <f>IF(H1354=0,F1354,"")</f>
        <v>40000</v>
      </c>
      <c r="J1354" s="118" t="str">
        <f>IF(I1354&gt;0,"ATRASADO","")</f>
        <v>ATRASADO</v>
      </c>
    </row>
    <row r="1355" spans="2:10">
      <c r="B1355" s="13"/>
      <c r="C1355" s="19"/>
      <c r="D1355" s="35"/>
      <c r="E1355" s="36"/>
      <c r="F1355" s="32"/>
      <c r="G1355" s="36"/>
    </row>
    <row r="1356" spans="2:10">
      <c r="B1356" s="13" t="s">
        <v>275</v>
      </c>
      <c r="C1356" s="19" t="s">
        <v>102</v>
      </c>
      <c r="D1356" s="12" t="s">
        <v>274</v>
      </c>
      <c r="E1356" s="10">
        <v>40919</v>
      </c>
      <c r="F1356" s="32">
        <v>35500</v>
      </c>
      <c r="G1356" s="27">
        <v>40919</v>
      </c>
      <c r="H1356" s="90">
        <f>IF(F1356&gt;0,0,"")</f>
        <v>0</v>
      </c>
      <c r="I1356" s="90">
        <f>IF(H1356=0,F1356,"")</f>
        <v>35500</v>
      </c>
      <c r="J1356" s="118" t="str">
        <f>IF(I1356&gt;0,"ATRASADO","")</f>
        <v>ATRASADO</v>
      </c>
    </row>
    <row r="1357" spans="2:10">
      <c r="B1357" s="13"/>
      <c r="C1357" s="19"/>
      <c r="D1357" s="12"/>
      <c r="E1357" s="10"/>
      <c r="F1357" s="32"/>
      <c r="G1357" s="27"/>
    </row>
    <row r="1358" spans="2:10">
      <c r="B1358" s="13" t="s">
        <v>374</v>
      </c>
      <c r="C1358" s="19" t="s">
        <v>102</v>
      </c>
      <c r="D1358" s="21" t="s">
        <v>373</v>
      </c>
      <c r="E1358" s="11">
        <v>40148</v>
      </c>
      <c r="F1358" s="32">
        <v>50000</v>
      </c>
      <c r="G1358" s="11">
        <v>40148</v>
      </c>
      <c r="H1358" s="90">
        <f t="shared" ref="H1358:H1363" si="120">IF(F1358&gt;0,0,"")</f>
        <v>0</v>
      </c>
      <c r="I1358" s="90">
        <f t="shared" ref="I1358:I1363" si="121">IF(H1358=0,F1358,"")</f>
        <v>50000</v>
      </c>
      <c r="J1358" s="118" t="str">
        <f t="shared" ref="J1358:J1363" si="122">IF(I1358&gt;0,"ATRASADO","")</f>
        <v>ATRASADO</v>
      </c>
    </row>
    <row r="1359" spans="2:10">
      <c r="B1359" s="13" t="s">
        <v>374</v>
      </c>
      <c r="C1359" s="19" t="s">
        <v>102</v>
      </c>
      <c r="D1359" s="21" t="s">
        <v>375</v>
      </c>
      <c r="E1359" s="11">
        <v>40329</v>
      </c>
      <c r="F1359" s="32">
        <v>50000</v>
      </c>
      <c r="G1359" s="11">
        <v>40329</v>
      </c>
      <c r="H1359" s="90">
        <f t="shared" si="120"/>
        <v>0</v>
      </c>
      <c r="I1359" s="90">
        <f t="shared" si="121"/>
        <v>50000</v>
      </c>
      <c r="J1359" s="118" t="str">
        <f t="shared" si="122"/>
        <v>ATRASADO</v>
      </c>
    </row>
    <row r="1360" spans="2:10">
      <c r="B1360" s="13" t="s">
        <v>374</v>
      </c>
      <c r="C1360" s="19" t="s">
        <v>102</v>
      </c>
      <c r="D1360" s="21" t="s">
        <v>376</v>
      </c>
      <c r="E1360" s="11">
        <v>40360</v>
      </c>
      <c r="F1360" s="32">
        <v>50000</v>
      </c>
      <c r="G1360" s="11">
        <v>40360</v>
      </c>
      <c r="H1360" s="90">
        <f t="shared" si="120"/>
        <v>0</v>
      </c>
      <c r="I1360" s="90">
        <f t="shared" si="121"/>
        <v>50000</v>
      </c>
      <c r="J1360" s="118" t="str">
        <f t="shared" si="122"/>
        <v>ATRASADO</v>
      </c>
    </row>
    <row r="1361" spans="2:10">
      <c r="B1361" s="13" t="s">
        <v>374</v>
      </c>
      <c r="C1361" s="19" t="s">
        <v>102</v>
      </c>
      <c r="D1361" s="21" t="s">
        <v>377</v>
      </c>
      <c r="E1361" s="11">
        <v>40131</v>
      </c>
      <c r="F1361" s="32">
        <v>50000</v>
      </c>
      <c r="G1361" s="11">
        <v>40131</v>
      </c>
      <c r="H1361" s="90">
        <f t="shared" si="120"/>
        <v>0</v>
      </c>
      <c r="I1361" s="90">
        <f t="shared" si="121"/>
        <v>50000</v>
      </c>
      <c r="J1361" s="118" t="str">
        <f t="shared" si="122"/>
        <v>ATRASADO</v>
      </c>
    </row>
    <row r="1362" spans="2:10">
      <c r="B1362" s="13" t="s">
        <v>374</v>
      </c>
      <c r="C1362" s="19" t="s">
        <v>102</v>
      </c>
      <c r="D1362" s="21" t="s">
        <v>378</v>
      </c>
      <c r="E1362" s="11">
        <v>40422</v>
      </c>
      <c r="F1362" s="32">
        <v>50000</v>
      </c>
      <c r="G1362" s="11">
        <v>40422</v>
      </c>
      <c r="H1362" s="90">
        <f t="shared" si="120"/>
        <v>0</v>
      </c>
      <c r="I1362" s="90">
        <f t="shared" si="121"/>
        <v>50000</v>
      </c>
      <c r="J1362" s="118" t="str">
        <f t="shared" si="122"/>
        <v>ATRASADO</v>
      </c>
    </row>
    <row r="1363" spans="2:10">
      <c r="B1363" s="13" t="s">
        <v>374</v>
      </c>
      <c r="C1363" s="19" t="s">
        <v>102</v>
      </c>
      <c r="D1363" s="21" t="s">
        <v>379</v>
      </c>
      <c r="E1363" s="11">
        <v>40457</v>
      </c>
      <c r="F1363" s="32">
        <v>50000</v>
      </c>
      <c r="G1363" s="11">
        <v>40457</v>
      </c>
      <c r="H1363" s="90">
        <f t="shared" si="120"/>
        <v>0</v>
      </c>
      <c r="I1363" s="90">
        <f t="shared" si="121"/>
        <v>50000</v>
      </c>
      <c r="J1363" s="118" t="str">
        <f t="shared" si="122"/>
        <v>ATRASADO</v>
      </c>
    </row>
    <row r="1364" spans="2:10" ht="15.75" thickBot="1">
      <c r="B1364" s="31"/>
      <c r="C1364" s="22"/>
      <c r="D1364" s="41"/>
      <c r="E1364" s="202"/>
      <c r="F1364" s="64"/>
      <c r="G1364" s="67"/>
    </row>
    <row r="1366" spans="2:10" ht="16.5" thickBot="1">
      <c r="B1366" s="58" t="s">
        <v>472</v>
      </c>
      <c r="C1366" s="57"/>
      <c r="D1366" s="57"/>
      <c r="E1366" s="203"/>
      <c r="F1366" s="59">
        <f>SUM(F14:F1364)</f>
        <v>1553816011.5199995</v>
      </c>
      <c r="G1366" s="33"/>
      <c r="H1366" s="59">
        <f>SUM(H14:H1364)</f>
        <v>1832095.49</v>
      </c>
      <c r="I1366" s="59">
        <f>SUM(I14:I1364)</f>
        <v>1551983916.0299995</v>
      </c>
    </row>
    <row r="1367" spans="2:10" ht="15.75" thickTop="1"/>
    <row r="1368" spans="2:10">
      <c r="F1368" s="63"/>
      <c r="G1368" s="33"/>
    </row>
    <row r="1369" spans="2:10">
      <c r="F1369" s="85"/>
    </row>
    <row r="1372" spans="2:10">
      <c r="B1372" s="122"/>
      <c r="C1372" s="391" t="s">
        <v>876</v>
      </c>
      <c r="D1372" s="391"/>
      <c r="E1372" s="391"/>
      <c r="F1372" s="391"/>
      <c r="G1372" s="388" t="s">
        <v>877</v>
      </c>
      <c r="H1372" s="388"/>
      <c r="I1372" s="388"/>
      <c r="J1372" s="388"/>
    </row>
    <row r="1373" spans="2:10">
      <c r="B1373" s="120"/>
      <c r="C1373" s="389" t="s">
        <v>742</v>
      </c>
      <c r="D1373" s="389"/>
      <c r="E1373" s="389"/>
      <c r="F1373" s="389"/>
      <c r="G1373" s="390" t="s">
        <v>743</v>
      </c>
      <c r="H1373" s="390"/>
      <c r="I1373" s="390"/>
      <c r="J1373" s="390"/>
    </row>
    <row r="1374" spans="2:10">
      <c r="B1374" s="116"/>
      <c r="C1374" s="116"/>
      <c r="D1374" s="116"/>
      <c r="E1374" s="204"/>
      <c r="F1374" s="119"/>
      <c r="G1374" s="119"/>
    </row>
  </sheetData>
  <mergeCells count="6">
    <mergeCell ref="B9:J9"/>
    <mergeCell ref="B10:J10"/>
    <mergeCell ref="C1372:F1372"/>
    <mergeCell ref="G1372:J1372"/>
    <mergeCell ref="C1373:F1373"/>
    <mergeCell ref="G1373:J137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420"/>
  <sheetViews>
    <sheetView topLeftCell="A1401" workbookViewId="0">
      <selection activeCell="B1418" sqref="B1418:B1419"/>
    </sheetView>
  </sheetViews>
  <sheetFormatPr baseColWidth="10" defaultColWidth="9.140625" defaultRowHeight="15"/>
  <cols>
    <col min="1" max="1" width="5.42578125" style="117" customWidth="1"/>
    <col min="2" max="2" width="13.7109375" style="91" customWidth="1"/>
    <col min="3" max="3" width="15.7109375" style="5" bestFit="1" customWidth="1"/>
    <col min="4" max="4" width="45.7109375" style="1" customWidth="1"/>
    <col min="5" max="5" width="36.42578125" style="54" bestFit="1" customWidth="1"/>
    <col min="6" max="6" width="9.5703125" style="56" bestFit="1" customWidth="1"/>
    <col min="7" max="7" width="19.85546875" style="33" bestFit="1" customWidth="1"/>
    <col min="8" max="8" width="15" style="205" customWidth="1"/>
    <col min="9" max="9" width="14.28515625" style="110" bestFit="1" customWidth="1"/>
    <col min="10" max="10" width="14.85546875" style="110" customWidth="1"/>
    <col min="11" max="11" width="12.28515625" style="117" customWidth="1"/>
    <col min="12" max="16384" width="9.140625" style="117"/>
  </cols>
  <sheetData>
    <row r="2" spans="2:11">
      <c r="D2" s="5"/>
      <c r="E2" s="51"/>
      <c r="G2" s="45"/>
    </row>
    <row r="3" spans="2:11">
      <c r="D3" s="5"/>
      <c r="E3" s="51"/>
      <c r="G3" s="45"/>
    </row>
    <row r="4" spans="2:11">
      <c r="D4" s="5"/>
      <c r="E4" s="52"/>
      <c r="G4" s="45"/>
    </row>
    <row r="5" spans="2:11">
      <c r="D5" s="5"/>
      <c r="E5" s="52"/>
      <c r="G5" s="45"/>
    </row>
    <row r="6" spans="2:11">
      <c r="D6" s="5"/>
      <c r="E6" s="52"/>
      <c r="G6" s="45"/>
    </row>
    <row r="7" spans="2:11">
      <c r="D7" s="5"/>
      <c r="E7" s="52"/>
      <c r="G7" s="45"/>
    </row>
    <row r="8" spans="2:11">
      <c r="D8" s="5"/>
      <c r="E8" s="52"/>
      <c r="G8" s="45"/>
    </row>
    <row r="9" spans="2:11" ht="15.75">
      <c r="B9" s="387" t="s">
        <v>1445</v>
      </c>
      <c r="C9" s="387"/>
      <c r="D9" s="387"/>
      <c r="E9" s="387"/>
      <c r="F9" s="387"/>
      <c r="G9" s="387"/>
      <c r="H9" s="387"/>
      <c r="I9" s="387"/>
      <c r="J9" s="387"/>
      <c r="K9" s="387"/>
    </row>
    <row r="10" spans="2:11" ht="15.75">
      <c r="B10" s="387" t="s">
        <v>1446</v>
      </c>
      <c r="C10" s="387"/>
      <c r="D10" s="387"/>
      <c r="E10" s="387"/>
      <c r="F10" s="387"/>
      <c r="G10" s="387"/>
      <c r="H10" s="387"/>
      <c r="I10" s="387"/>
      <c r="J10" s="387"/>
      <c r="K10" s="387"/>
    </row>
    <row r="11" spans="2:11">
      <c r="D11" s="3"/>
      <c r="E11" s="53"/>
      <c r="F11" s="3"/>
      <c r="G11" s="46"/>
    </row>
    <row r="12" spans="2:11" ht="3.75" customHeight="1"/>
    <row r="13" spans="2:11" s="121" customFormat="1" ht="29.25" customHeight="1">
      <c r="B13" s="92" t="s">
        <v>0</v>
      </c>
      <c r="C13" s="9" t="s">
        <v>1</v>
      </c>
      <c r="D13" s="9" t="s">
        <v>2</v>
      </c>
      <c r="E13" s="55" t="s">
        <v>3</v>
      </c>
      <c r="F13" s="9" t="s">
        <v>4</v>
      </c>
      <c r="G13" s="47" t="s">
        <v>5</v>
      </c>
      <c r="H13" s="206" t="s">
        <v>1048</v>
      </c>
      <c r="I13" s="47" t="s">
        <v>1049</v>
      </c>
      <c r="J13" s="47" t="s">
        <v>1050</v>
      </c>
      <c r="K13" s="9" t="s">
        <v>1051</v>
      </c>
    </row>
    <row r="14" spans="2:11">
      <c r="B14" s="93"/>
      <c r="C14" s="6"/>
      <c r="D14" s="7"/>
      <c r="E14" s="8"/>
      <c r="F14" s="2"/>
      <c r="G14" s="48"/>
      <c r="H14" s="207"/>
    </row>
    <row r="15" spans="2:11">
      <c r="B15" s="10">
        <v>44292</v>
      </c>
      <c r="C15" s="16" t="s">
        <v>941</v>
      </c>
      <c r="D15" s="13" t="s">
        <v>940</v>
      </c>
      <c r="E15" s="19" t="s">
        <v>107</v>
      </c>
      <c r="F15" s="60">
        <v>2286</v>
      </c>
      <c r="G15" s="32">
        <v>58233</v>
      </c>
      <c r="H15" s="208">
        <v>44292</v>
      </c>
      <c r="I15" s="90">
        <v>0</v>
      </c>
      <c r="J15" s="90">
        <f>IF(G15&gt;0,G15,"")</f>
        <v>58233</v>
      </c>
      <c r="K15" s="90" t="str">
        <f>IF(J15&gt;0,"ATRASADO","")</f>
        <v>ATRASADO</v>
      </c>
    </row>
    <row r="16" spans="2:11">
      <c r="B16" s="10"/>
      <c r="C16" s="16"/>
      <c r="D16" s="13"/>
      <c r="E16" s="19"/>
      <c r="F16" s="60"/>
      <c r="G16" s="110"/>
      <c r="H16" s="208"/>
      <c r="I16" s="90"/>
      <c r="J16" s="90" t="str">
        <f t="shared" ref="J16:J79" si="0">IF(G16&gt;0,G16,"")</f>
        <v/>
      </c>
      <c r="K16" s="90"/>
    </row>
    <row r="17" spans="2:11">
      <c r="B17" s="10">
        <v>41345</v>
      </c>
      <c r="C17" s="16">
        <v>100000531</v>
      </c>
      <c r="D17" s="13" t="s">
        <v>106</v>
      </c>
      <c r="E17" s="19" t="s">
        <v>107</v>
      </c>
      <c r="F17" s="60">
        <v>2323</v>
      </c>
      <c r="G17" s="32">
        <v>43630.5</v>
      </c>
      <c r="H17" s="208">
        <v>41345</v>
      </c>
      <c r="I17" s="90">
        <v>0</v>
      </c>
      <c r="J17" s="90">
        <f t="shared" si="0"/>
        <v>43630.5</v>
      </c>
      <c r="K17" s="90" t="str">
        <f>IF(J17&gt;0,"ATRASADO","")</f>
        <v>ATRASADO</v>
      </c>
    </row>
    <row r="18" spans="2:11">
      <c r="B18" s="10"/>
      <c r="C18" s="16"/>
      <c r="D18" s="13"/>
      <c r="E18" s="19"/>
      <c r="F18" s="60"/>
      <c r="G18" s="32"/>
      <c r="H18" s="208"/>
      <c r="I18" s="90"/>
      <c r="J18" s="90" t="str">
        <f t="shared" si="0"/>
        <v/>
      </c>
      <c r="K18" s="68"/>
    </row>
    <row r="19" spans="2:11">
      <c r="B19" s="10">
        <v>42545</v>
      </c>
      <c r="C19" s="17">
        <v>1500000003</v>
      </c>
      <c r="D19" s="13" t="s">
        <v>113</v>
      </c>
      <c r="E19" s="19" t="s">
        <v>114</v>
      </c>
      <c r="F19" s="60">
        <v>2332</v>
      </c>
      <c r="G19" s="32">
        <v>169235.39</v>
      </c>
      <c r="H19" s="208">
        <v>42545</v>
      </c>
      <c r="I19" s="90">
        <v>0</v>
      </c>
      <c r="J19" s="90">
        <f t="shared" si="0"/>
        <v>169235.39</v>
      </c>
      <c r="K19" s="90" t="str">
        <f>IF(J19&gt;0,"ATRASADO","")</f>
        <v>ATRASADO</v>
      </c>
    </row>
    <row r="20" spans="2:11">
      <c r="B20" s="10">
        <v>42545</v>
      </c>
      <c r="C20" s="17">
        <v>1500000004</v>
      </c>
      <c r="D20" s="13" t="s">
        <v>113</v>
      </c>
      <c r="E20" s="19" t="s">
        <v>114</v>
      </c>
      <c r="F20" s="60">
        <v>2332</v>
      </c>
      <c r="G20" s="32">
        <v>119551.7</v>
      </c>
      <c r="H20" s="208">
        <v>42545</v>
      </c>
      <c r="I20" s="90">
        <v>0</v>
      </c>
      <c r="J20" s="90">
        <f t="shared" si="0"/>
        <v>119551.7</v>
      </c>
      <c r="K20" s="90" t="str">
        <f>IF(J20&gt;0,"ATRASADO","")</f>
        <v>ATRASADO</v>
      </c>
    </row>
    <row r="21" spans="2:11">
      <c r="B21" s="10"/>
      <c r="C21" s="17"/>
      <c r="D21" s="13"/>
      <c r="E21" s="19"/>
      <c r="F21" s="60"/>
      <c r="G21" s="32"/>
      <c r="H21" s="208"/>
      <c r="I21" s="90"/>
      <c r="J21" s="90" t="str">
        <f t="shared" si="0"/>
        <v/>
      </c>
      <c r="K21" s="68"/>
    </row>
    <row r="22" spans="2:11">
      <c r="B22" s="10">
        <v>43470</v>
      </c>
      <c r="C22" s="17" t="s">
        <v>693</v>
      </c>
      <c r="D22" s="13" t="s">
        <v>689</v>
      </c>
      <c r="E22" s="19" t="s">
        <v>597</v>
      </c>
      <c r="F22" s="60">
        <v>2213</v>
      </c>
      <c r="G22" s="32">
        <v>16972.2</v>
      </c>
      <c r="H22" s="208">
        <v>43470</v>
      </c>
      <c r="I22" s="90">
        <v>0</v>
      </c>
      <c r="J22" s="90">
        <f t="shared" si="0"/>
        <v>16972.2</v>
      </c>
      <c r="K22" s="90" t="str">
        <f>IF(J22&gt;0,"ATRASADO","")</f>
        <v>ATRASADO</v>
      </c>
    </row>
    <row r="23" spans="2:11">
      <c r="B23" s="10">
        <v>43501</v>
      </c>
      <c r="C23" s="17" t="s">
        <v>691</v>
      </c>
      <c r="D23" s="13" t="s">
        <v>689</v>
      </c>
      <c r="E23" s="19" t="s">
        <v>597</v>
      </c>
      <c r="F23" s="60">
        <v>2213</v>
      </c>
      <c r="G23" s="32">
        <v>5945.08</v>
      </c>
      <c r="H23" s="208">
        <v>43501</v>
      </c>
      <c r="I23" s="90">
        <v>0</v>
      </c>
      <c r="J23" s="90">
        <f t="shared" si="0"/>
        <v>5945.08</v>
      </c>
      <c r="K23" s="90" t="str">
        <f>IF(J23&gt;0,"ATRASADO","")</f>
        <v>ATRASADO</v>
      </c>
    </row>
    <row r="24" spans="2:11">
      <c r="B24" s="10">
        <v>43529</v>
      </c>
      <c r="C24" s="17" t="s">
        <v>692</v>
      </c>
      <c r="D24" s="13" t="s">
        <v>689</v>
      </c>
      <c r="E24" s="19" t="s">
        <v>597</v>
      </c>
      <c r="F24" s="60">
        <v>2213</v>
      </c>
      <c r="G24" s="32">
        <v>6224.29</v>
      </c>
      <c r="H24" s="208">
        <v>43529</v>
      </c>
      <c r="I24" s="90">
        <v>0</v>
      </c>
      <c r="J24" s="90">
        <f t="shared" si="0"/>
        <v>6224.29</v>
      </c>
      <c r="K24" s="90" t="str">
        <f>IF(J24&gt;0,"ATRASADO","")</f>
        <v>ATRASADO</v>
      </c>
    </row>
    <row r="25" spans="2:11">
      <c r="B25" s="10">
        <v>43560</v>
      </c>
      <c r="C25" s="17" t="s">
        <v>690</v>
      </c>
      <c r="D25" s="13" t="s">
        <v>689</v>
      </c>
      <c r="E25" s="19" t="s">
        <v>597</v>
      </c>
      <c r="F25" s="60">
        <v>2213</v>
      </c>
      <c r="G25" s="32">
        <v>6001.8</v>
      </c>
      <c r="H25" s="208">
        <v>43560</v>
      </c>
      <c r="I25" s="90">
        <v>0</v>
      </c>
      <c r="J25" s="90">
        <f t="shared" si="0"/>
        <v>6001.8</v>
      </c>
      <c r="K25" s="90" t="str">
        <f>IF(J25&gt;0,"ATRASADO","")</f>
        <v>ATRASADO</v>
      </c>
    </row>
    <row r="26" spans="2:11">
      <c r="B26" s="10"/>
      <c r="C26" s="17"/>
      <c r="D26" s="13"/>
      <c r="E26" s="19"/>
      <c r="F26" s="60"/>
      <c r="G26" s="32"/>
      <c r="H26" s="208"/>
      <c r="I26" s="90"/>
      <c r="J26" s="90" t="str">
        <f t="shared" si="0"/>
        <v/>
      </c>
      <c r="K26" s="68"/>
    </row>
    <row r="27" spans="2:11">
      <c r="B27" s="10">
        <v>43838</v>
      </c>
      <c r="C27" s="17" t="s">
        <v>744</v>
      </c>
      <c r="D27" s="13" t="s">
        <v>482</v>
      </c>
      <c r="E27" s="19" t="s">
        <v>576</v>
      </c>
      <c r="F27" s="60">
        <v>2221</v>
      </c>
      <c r="G27" s="32">
        <v>23600</v>
      </c>
      <c r="H27" s="208">
        <v>43838</v>
      </c>
      <c r="I27" s="90">
        <v>0</v>
      </c>
      <c r="J27" s="90">
        <f t="shared" si="0"/>
        <v>23600</v>
      </c>
      <c r="K27" s="90" t="str">
        <f>IF(J27&gt;0,"ATRASADO","")</f>
        <v>ATRASADO</v>
      </c>
    </row>
    <row r="28" spans="2:11">
      <c r="B28" s="10"/>
      <c r="C28" s="25"/>
      <c r="D28" s="13"/>
      <c r="E28" s="19"/>
      <c r="F28" s="60"/>
      <c r="G28" s="32"/>
      <c r="H28" s="208"/>
      <c r="I28" s="90"/>
      <c r="J28" s="90" t="str">
        <f t="shared" si="0"/>
        <v/>
      </c>
      <c r="K28" s="68"/>
    </row>
    <row r="29" spans="2:11">
      <c r="B29" s="11">
        <v>41470</v>
      </c>
      <c r="C29" s="16">
        <v>1500000048</v>
      </c>
      <c r="D29" s="13" t="s">
        <v>700</v>
      </c>
      <c r="E29" s="19" t="s">
        <v>701</v>
      </c>
      <c r="F29" s="60">
        <v>2311</v>
      </c>
      <c r="G29" s="32">
        <v>213626</v>
      </c>
      <c r="H29" s="87">
        <v>41470</v>
      </c>
      <c r="I29" s="90">
        <v>0</v>
      </c>
      <c r="J29" s="90">
        <f t="shared" si="0"/>
        <v>213626</v>
      </c>
      <c r="K29" s="90" t="str">
        <f>IF(J29&gt;0,"ATRASADO","")</f>
        <v>ATRASADO</v>
      </c>
    </row>
    <row r="30" spans="2:11">
      <c r="B30" s="10"/>
      <c r="C30" s="25"/>
      <c r="D30" s="13"/>
      <c r="E30" s="19"/>
      <c r="F30" s="60"/>
      <c r="G30" s="32"/>
      <c r="H30" s="208"/>
      <c r="I30" s="90"/>
      <c r="J30" s="90" t="str">
        <f t="shared" si="0"/>
        <v/>
      </c>
      <c r="K30" s="68"/>
    </row>
    <row r="31" spans="2:11">
      <c r="B31" s="10">
        <v>44203</v>
      </c>
      <c r="C31" s="25" t="s">
        <v>950</v>
      </c>
      <c r="D31" s="107" t="s">
        <v>914</v>
      </c>
      <c r="E31" s="19" t="s">
        <v>705</v>
      </c>
      <c r="F31" s="60">
        <v>2286</v>
      </c>
      <c r="G31" s="32">
        <v>125906</v>
      </c>
      <c r="H31" s="10">
        <v>44203</v>
      </c>
      <c r="I31" s="90">
        <v>0</v>
      </c>
      <c r="J31" s="90">
        <f t="shared" si="0"/>
        <v>125906</v>
      </c>
      <c r="K31" s="90" t="str">
        <f>IF(J31&gt;0,"ATRASADO","")</f>
        <v>ATRASADO</v>
      </c>
    </row>
    <row r="32" spans="2:11">
      <c r="B32" s="10">
        <v>44203</v>
      </c>
      <c r="C32" s="25" t="s">
        <v>951</v>
      </c>
      <c r="D32" s="107" t="s">
        <v>914</v>
      </c>
      <c r="E32" s="19" t="s">
        <v>705</v>
      </c>
      <c r="F32" s="60">
        <v>2286</v>
      </c>
      <c r="G32" s="32">
        <v>102424</v>
      </c>
      <c r="H32" s="10">
        <v>44203</v>
      </c>
      <c r="I32" s="90">
        <v>0</v>
      </c>
      <c r="J32" s="90">
        <f t="shared" si="0"/>
        <v>102424</v>
      </c>
      <c r="K32" s="90" t="str">
        <f>IF(J32&gt;0,"ATRASADO","")</f>
        <v>ATRASADO</v>
      </c>
    </row>
    <row r="33" spans="2:11">
      <c r="B33" s="10">
        <v>44203</v>
      </c>
      <c r="C33" s="25" t="s">
        <v>952</v>
      </c>
      <c r="D33" s="107" t="s">
        <v>914</v>
      </c>
      <c r="E33" s="19" t="s">
        <v>705</v>
      </c>
      <c r="F33" s="60">
        <v>2286</v>
      </c>
      <c r="G33" s="32">
        <v>684400</v>
      </c>
      <c r="H33" s="10">
        <v>44203</v>
      </c>
      <c r="I33" s="90">
        <v>0</v>
      </c>
      <c r="J33" s="90">
        <f t="shared" si="0"/>
        <v>684400</v>
      </c>
      <c r="K33" s="90" t="str">
        <f>IF(J33&gt;0,"ATRASADO","")</f>
        <v>ATRASADO</v>
      </c>
    </row>
    <row r="34" spans="2:11">
      <c r="B34" s="10" t="s">
        <v>1447</v>
      </c>
      <c r="C34" s="25" t="s">
        <v>1448</v>
      </c>
      <c r="D34" s="107" t="s">
        <v>914</v>
      </c>
      <c r="E34" s="19" t="s">
        <v>705</v>
      </c>
      <c r="F34" s="60">
        <v>2286</v>
      </c>
      <c r="G34" s="32">
        <v>93680.2</v>
      </c>
      <c r="H34" s="10" t="s">
        <v>1447</v>
      </c>
      <c r="I34" s="90">
        <v>0</v>
      </c>
      <c r="J34" s="90">
        <f t="shared" si="0"/>
        <v>93680.2</v>
      </c>
      <c r="K34" s="90" t="str">
        <f>IF(J34&gt;0,"ATRASADO","")</f>
        <v>ATRASADO</v>
      </c>
    </row>
    <row r="35" spans="2:11">
      <c r="B35" s="10"/>
      <c r="C35" s="25"/>
      <c r="D35" s="13"/>
      <c r="E35" s="19"/>
      <c r="F35" s="60"/>
      <c r="G35" s="32"/>
      <c r="H35" s="208"/>
      <c r="I35" s="90"/>
      <c r="J35" s="90" t="str">
        <f t="shared" si="0"/>
        <v/>
      </c>
      <c r="K35" s="68"/>
    </row>
    <row r="36" spans="2:11">
      <c r="B36" s="10" t="s">
        <v>972</v>
      </c>
      <c r="C36" s="25" t="s">
        <v>974</v>
      </c>
      <c r="D36" s="13" t="s">
        <v>870</v>
      </c>
      <c r="E36" s="19" t="s">
        <v>871</v>
      </c>
      <c r="F36" s="60">
        <v>2111</v>
      </c>
      <c r="G36" s="32">
        <v>193000</v>
      </c>
      <c r="H36" s="208" t="s">
        <v>972</v>
      </c>
      <c r="I36" s="90">
        <v>0</v>
      </c>
      <c r="J36" s="90">
        <f t="shared" si="0"/>
        <v>193000</v>
      </c>
      <c r="K36" s="90" t="str">
        <f>IF(J36&gt;0,"ATRASADO","")</f>
        <v>ATRASADO</v>
      </c>
    </row>
    <row r="37" spans="2:11">
      <c r="B37" s="10"/>
      <c r="C37" s="25"/>
      <c r="D37" s="13"/>
      <c r="E37" s="19"/>
      <c r="F37" s="60"/>
      <c r="G37" s="32"/>
      <c r="H37" s="208"/>
      <c r="I37" s="90"/>
      <c r="J37" s="90" t="str">
        <f t="shared" si="0"/>
        <v/>
      </c>
      <c r="K37" s="68"/>
    </row>
    <row r="38" spans="2:11" ht="24.75">
      <c r="B38" s="10" t="s">
        <v>946</v>
      </c>
      <c r="C38" s="25" t="s">
        <v>944</v>
      </c>
      <c r="D38" s="13" t="s">
        <v>109</v>
      </c>
      <c r="E38" s="19" t="s">
        <v>110</v>
      </c>
      <c r="F38" s="60">
        <v>2111</v>
      </c>
      <c r="G38" s="32">
        <v>25747.5</v>
      </c>
      <c r="H38" s="208" t="s">
        <v>946</v>
      </c>
      <c r="I38" s="90">
        <v>0</v>
      </c>
      <c r="J38" s="90">
        <f t="shared" si="0"/>
        <v>25747.5</v>
      </c>
      <c r="K38" s="90" t="str">
        <f>IF(J38&gt;0,"ATRASADO","")</f>
        <v>ATRASADO</v>
      </c>
    </row>
    <row r="39" spans="2:11" ht="24.75">
      <c r="B39" s="10" t="s">
        <v>978</v>
      </c>
      <c r="C39" s="25" t="s">
        <v>974</v>
      </c>
      <c r="D39" s="13" t="s">
        <v>109</v>
      </c>
      <c r="E39" s="19" t="s">
        <v>110</v>
      </c>
      <c r="F39" s="60">
        <v>2111</v>
      </c>
      <c r="G39" s="32">
        <v>25777.5</v>
      </c>
      <c r="H39" s="208" t="s">
        <v>978</v>
      </c>
      <c r="I39" s="90">
        <v>0</v>
      </c>
      <c r="J39" s="90">
        <f t="shared" si="0"/>
        <v>25777.5</v>
      </c>
      <c r="K39" s="90" t="str">
        <f>IF(J39&gt;0,"ATRASADO","")</f>
        <v>ATRASADO</v>
      </c>
    </row>
    <row r="40" spans="2:11">
      <c r="B40" s="10"/>
      <c r="C40" s="25"/>
      <c r="D40" s="13"/>
      <c r="E40" s="19"/>
      <c r="F40" s="60"/>
      <c r="G40" s="32"/>
      <c r="H40" s="208"/>
      <c r="I40" s="90"/>
      <c r="J40" s="90" t="str">
        <f t="shared" si="0"/>
        <v/>
      </c>
      <c r="K40" s="68"/>
    </row>
    <row r="41" spans="2:11">
      <c r="B41" s="10">
        <v>41676</v>
      </c>
      <c r="C41" s="16">
        <v>16431132</v>
      </c>
      <c r="D41" s="13" t="s">
        <v>284</v>
      </c>
      <c r="E41" s="19" t="s">
        <v>115</v>
      </c>
      <c r="F41" s="60">
        <v>2218</v>
      </c>
      <c r="G41" s="32">
        <v>1200</v>
      </c>
      <c r="H41" s="208">
        <v>41676</v>
      </c>
      <c r="I41" s="90">
        <v>0</v>
      </c>
      <c r="J41" s="90">
        <f t="shared" si="0"/>
        <v>1200</v>
      </c>
      <c r="K41" s="90" t="str">
        <f t="shared" ref="K41:K106" si="1">IF(J41&gt;0,"ATRASADO","")</f>
        <v>ATRASADO</v>
      </c>
    </row>
    <row r="42" spans="2:11">
      <c r="B42" s="10">
        <v>40968</v>
      </c>
      <c r="C42" s="41">
        <v>723870002</v>
      </c>
      <c r="D42" s="13" t="s">
        <v>284</v>
      </c>
      <c r="E42" s="19" t="s">
        <v>115</v>
      </c>
      <c r="F42" s="60">
        <v>2218</v>
      </c>
      <c r="G42" s="32">
        <v>30000</v>
      </c>
      <c r="H42" s="208">
        <v>40968</v>
      </c>
      <c r="I42" s="90">
        <v>0</v>
      </c>
      <c r="J42" s="90">
        <f t="shared" si="0"/>
        <v>30000</v>
      </c>
      <c r="K42" s="90" t="str">
        <f t="shared" si="1"/>
        <v>ATRASADO</v>
      </c>
    </row>
    <row r="43" spans="2:11">
      <c r="B43" s="10">
        <v>40999</v>
      </c>
      <c r="C43" s="41">
        <v>12310523</v>
      </c>
      <c r="D43" s="13" t="s">
        <v>284</v>
      </c>
      <c r="E43" s="19" t="s">
        <v>115</v>
      </c>
      <c r="F43" s="60">
        <v>2218</v>
      </c>
      <c r="G43" s="32">
        <v>13150</v>
      </c>
      <c r="H43" s="208">
        <v>40999</v>
      </c>
      <c r="I43" s="90">
        <v>0</v>
      </c>
      <c r="J43" s="90">
        <f t="shared" si="0"/>
        <v>13150</v>
      </c>
      <c r="K43" s="90" t="str">
        <f t="shared" si="1"/>
        <v>ATRASADO</v>
      </c>
    </row>
    <row r="44" spans="2:11">
      <c r="B44" s="10">
        <v>41060</v>
      </c>
      <c r="C44" s="41">
        <v>13319967</v>
      </c>
      <c r="D44" s="13" t="s">
        <v>284</v>
      </c>
      <c r="E44" s="19" t="s">
        <v>115</v>
      </c>
      <c r="F44" s="60">
        <v>2218</v>
      </c>
      <c r="G44" s="32">
        <v>4681</v>
      </c>
      <c r="H44" s="208">
        <v>41060</v>
      </c>
      <c r="I44" s="90">
        <v>0</v>
      </c>
      <c r="J44" s="90">
        <f t="shared" si="0"/>
        <v>4681</v>
      </c>
      <c r="K44" s="90" t="str">
        <f t="shared" si="1"/>
        <v>ATRASADO</v>
      </c>
    </row>
    <row r="45" spans="2:11">
      <c r="B45" s="10"/>
      <c r="C45" s="17"/>
      <c r="D45" s="13"/>
      <c r="E45" s="19"/>
      <c r="F45" s="60"/>
      <c r="G45" s="32"/>
      <c r="H45" s="208"/>
      <c r="I45" s="90"/>
      <c r="J45" s="90" t="str">
        <f t="shared" si="0"/>
        <v/>
      </c>
      <c r="K45" s="68"/>
    </row>
    <row r="46" spans="2:11">
      <c r="B46" s="10">
        <v>41579</v>
      </c>
      <c r="C46" s="16" t="s">
        <v>117</v>
      </c>
      <c r="D46" s="13" t="s">
        <v>116</v>
      </c>
      <c r="E46" s="19" t="s">
        <v>115</v>
      </c>
      <c r="F46" s="60">
        <v>2218</v>
      </c>
      <c r="G46" s="32">
        <v>3000</v>
      </c>
      <c r="H46" s="208">
        <v>41579</v>
      </c>
      <c r="I46" s="90">
        <v>0</v>
      </c>
      <c r="J46" s="90">
        <f t="shared" si="0"/>
        <v>3000</v>
      </c>
      <c r="K46" s="90" t="str">
        <f t="shared" si="1"/>
        <v>ATRASADO</v>
      </c>
    </row>
    <row r="47" spans="2:11">
      <c r="B47" s="10">
        <v>41609</v>
      </c>
      <c r="C47" s="16" t="s">
        <v>118</v>
      </c>
      <c r="D47" s="13" t="s">
        <v>116</v>
      </c>
      <c r="E47" s="19" t="s">
        <v>115</v>
      </c>
      <c r="F47" s="60">
        <v>2218</v>
      </c>
      <c r="G47" s="32">
        <v>3000</v>
      </c>
      <c r="H47" s="208">
        <v>41609</v>
      </c>
      <c r="I47" s="90">
        <v>0</v>
      </c>
      <c r="J47" s="90">
        <f t="shared" si="0"/>
        <v>3000</v>
      </c>
      <c r="K47" s="90" t="str">
        <f t="shared" si="1"/>
        <v>ATRASADO</v>
      </c>
    </row>
    <row r="48" spans="2:11">
      <c r="B48" s="10">
        <v>41684</v>
      </c>
      <c r="C48" s="16" t="s">
        <v>119</v>
      </c>
      <c r="D48" s="13" t="s">
        <v>116</v>
      </c>
      <c r="E48" s="19" t="s">
        <v>115</v>
      </c>
      <c r="F48" s="60">
        <v>2218</v>
      </c>
      <c r="G48" s="32">
        <v>3145</v>
      </c>
      <c r="H48" s="208">
        <v>41684</v>
      </c>
      <c r="I48" s="90">
        <v>0</v>
      </c>
      <c r="J48" s="90">
        <f t="shared" si="0"/>
        <v>3145</v>
      </c>
      <c r="K48" s="90" t="str">
        <f t="shared" si="1"/>
        <v>ATRASADO</v>
      </c>
    </row>
    <row r="49" spans="2:11">
      <c r="B49" s="10"/>
      <c r="C49" s="16"/>
      <c r="D49" s="13"/>
      <c r="E49" s="19"/>
      <c r="F49" s="60"/>
      <c r="G49" s="32"/>
      <c r="H49" s="208"/>
      <c r="I49" s="90"/>
      <c r="J49" s="90" t="str">
        <f t="shared" si="0"/>
        <v/>
      </c>
      <c r="K49" s="68"/>
    </row>
    <row r="50" spans="2:11">
      <c r="B50" s="10">
        <v>43709</v>
      </c>
      <c r="C50" s="16" t="s">
        <v>715</v>
      </c>
      <c r="D50" s="13" t="s">
        <v>708</v>
      </c>
      <c r="E50" s="19" t="s">
        <v>115</v>
      </c>
      <c r="F50" s="60">
        <v>2218</v>
      </c>
      <c r="G50" s="32">
        <v>5000</v>
      </c>
      <c r="H50" s="208">
        <v>43709</v>
      </c>
      <c r="I50" s="90">
        <v>0</v>
      </c>
      <c r="J50" s="90">
        <f t="shared" si="0"/>
        <v>5000</v>
      </c>
      <c r="K50" s="90" t="str">
        <f t="shared" si="1"/>
        <v>ATRASADO</v>
      </c>
    </row>
    <row r="51" spans="2:11">
      <c r="B51" s="10">
        <v>44287</v>
      </c>
      <c r="C51" s="16" t="s">
        <v>899</v>
      </c>
      <c r="D51" s="13" t="s">
        <v>708</v>
      </c>
      <c r="E51" s="19" t="s">
        <v>115</v>
      </c>
      <c r="F51" s="60">
        <v>2218</v>
      </c>
      <c r="G51" s="32">
        <v>5000</v>
      </c>
      <c r="H51" s="208">
        <v>44287</v>
      </c>
      <c r="I51" s="90">
        <v>0</v>
      </c>
      <c r="J51" s="90">
        <f t="shared" si="0"/>
        <v>5000</v>
      </c>
      <c r="K51" s="90" t="str">
        <f t="shared" si="1"/>
        <v>ATRASADO</v>
      </c>
    </row>
    <row r="52" spans="2:11">
      <c r="B52" s="10" t="s">
        <v>901</v>
      </c>
      <c r="C52" s="16" t="s">
        <v>900</v>
      </c>
      <c r="D52" s="13" t="s">
        <v>708</v>
      </c>
      <c r="E52" s="19" t="s">
        <v>115</v>
      </c>
      <c r="F52" s="60">
        <v>2218</v>
      </c>
      <c r="G52" s="32">
        <v>315000</v>
      </c>
      <c r="H52" s="208" t="s">
        <v>901</v>
      </c>
      <c r="I52" s="90">
        <v>0</v>
      </c>
      <c r="J52" s="90">
        <f t="shared" si="0"/>
        <v>315000</v>
      </c>
      <c r="K52" s="90" t="str">
        <f t="shared" si="1"/>
        <v>ATRASADO</v>
      </c>
    </row>
    <row r="53" spans="2:11">
      <c r="B53" s="20"/>
      <c r="C53" s="16"/>
      <c r="D53" s="13"/>
      <c r="E53" s="19"/>
      <c r="F53" s="60"/>
      <c r="G53" s="32"/>
      <c r="H53" s="209"/>
      <c r="I53" s="90"/>
      <c r="J53" s="90" t="str">
        <f t="shared" si="0"/>
        <v/>
      </c>
      <c r="K53" s="68"/>
    </row>
    <row r="54" spans="2:11">
      <c r="B54" s="10">
        <v>41415</v>
      </c>
      <c r="C54" s="16" t="s">
        <v>35</v>
      </c>
      <c r="D54" s="13" t="s">
        <v>36</v>
      </c>
      <c r="E54" s="19" t="s">
        <v>21</v>
      </c>
      <c r="F54" s="60">
        <v>2251</v>
      </c>
      <c r="G54" s="32">
        <f>313497.12-125000</f>
        <v>188497.12</v>
      </c>
      <c r="H54" s="208">
        <v>41415</v>
      </c>
      <c r="I54" s="90">
        <v>0</v>
      </c>
      <c r="J54" s="90">
        <f t="shared" si="0"/>
        <v>188497.12</v>
      </c>
      <c r="K54" s="90" t="str">
        <f t="shared" si="1"/>
        <v>ATRASADO</v>
      </c>
    </row>
    <row r="55" spans="2:11">
      <c r="B55" s="10"/>
      <c r="C55" s="16"/>
      <c r="D55" s="13"/>
      <c r="E55" s="19"/>
      <c r="F55" s="60"/>
      <c r="G55" s="32"/>
      <c r="H55" s="208"/>
      <c r="I55" s="90"/>
      <c r="J55" s="90" t="str">
        <f t="shared" si="0"/>
        <v/>
      </c>
      <c r="K55" s="68"/>
    </row>
    <row r="56" spans="2:11">
      <c r="B56" s="10" t="s">
        <v>953</v>
      </c>
      <c r="C56" s="16" t="s">
        <v>954</v>
      </c>
      <c r="D56" s="13" t="s">
        <v>949</v>
      </c>
      <c r="E56" s="19" t="s">
        <v>955</v>
      </c>
      <c r="F56" s="60">
        <v>2619</v>
      </c>
      <c r="G56" s="32">
        <v>508580</v>
      </c>
      <c r="H56" s="208" t="s">
        <v>953</v>
      </c>
      <c r="I56" s="90">
        <v>0</v>
      </c>
      <c r="J56" s="90">
        <f t="shared" si="0"/>
        <v>508580</v>
      </c>
      <c r="K56" s="90" t="str">
        <f t="shared" si="1"/>
        <v>ATRASADO</v>
      </c>
    </row>
    <row r="57" spans="2:11">
      <c r="B57" s="10"/>
      <c r="C57" s="16"/>
      <c r="D57" s="13"/>
      <c r="E57" s="19"/>
      <c r="F57" s="60"/>
      <c r="G57" s="32"/>
      <c r="H57" s="208"/>
      <c r="I57" s="90"/>
      <c r="J57" s="90" t="str">
        <f t="shared" si="0"/>
        <v/>
      </c>
      <c r="K57" s="68"/>
    </row>
    <row r="58" spans="2:11">
      <c r="B58" s="36">
        <v>41286</v>
      </c>
      <c r="C58" s="35" t="s">
        <v>531</v>
      </c>
      <c r="D58" s="13" t="s">
        <v>532</v>
      </c>
      <c r="E58" s="19" t="s">
        <v>102</v>
      </c>
      <c r="F58" s="60">
        <v>2221</v>
      </c>
      <c r="G58" s="32">
        <v>67454.7</v>
      </c>
      <c r="H58" s="210">
        <v>41286</v>
      </c>
      <c r="I58" s="90">
        <v>0</v>
      </c>
      <c r="J58" s="90">
        <f t="shared" si="0"/>
        <v>67454.7</v>
      </c>
      <c r="K58" s="90" t="str">
        <f t="shared" si="1"/>
        <v>ATRASADO</v>
      </c>
    </row>
    <row r="59" spans="2:11">
      <c r="B59" s="36"/>
      <c r="C59" s="35"/>
      <c r="D59" s="13"/>
      <c r="E59" s="19"/>
      <c r="F59" s="60"/>
      <c r="G59" s="32"/>
      <c r="H59" s="210"/>
      <c r="I59" s="90"/>
      <c r="J59" s="90" t="str">
        <f t="shared" si="0"/>
        <v/>
      </c>
      <c r="K59" s="68"/>
    </row>
    <row r="60" spans="2:11">
      <c r="B60" s="10">
        <v>41444</v>
      </c>
      <c r="C60" s="16">
        <v>1500000011</v>
      </c>
      <c r="D60" s="13" t="s">
        <v>132</v>
      </c>
      <c r="E60" s="19" t="s">
        <v>133</v>
      </c>
      <c r="F60" s="60">
        <v>2272</v>
      </c>
      <c r="G60" s="32">
        <v>9270</v>
      </c>
      <c r="H60" s="208">
        <v>41444</v>
      </c>
      <c r="I60" s="90">
        <v>0</v>
      </c>
      <c r="J60" s="90">
        <f t="shared" si="0"/>
        <v>9270</v>
      </c>
      <c r="K60" s="90" t="str">
        <f t="shared" si="1"/>
        <v>ATRASADO</v>
      </c>
    </row>
    <row r="61" spans="2:11">
      <c r="B61" s="10">
        <v>41451</v>
      </c>
      <c r="C61" s="16">
        <v>1500000012</v>
      </c>
      <c r="D61" s="13" t="s">
        <v>132</v>
      </c>
      <c r="E61" s="19" t="s">
        <v>133</v>
      </c>
      <c r="F61" s="60">
        <v>2272</v>
      </c>
      <c r="G61" s="32">
        <v>4500</v>
      </c>
      <c r="H61" s="208">
        <v>41451</v>
      </c>
      <c r="I61" s="90">
        <v>0</v>
      </c>
      <c r="J61" s="90">
        <f t="shared" si="0"/>
        <v>4500</v>
      </c>
      <c r="K61" s="90" t="str">
        <f t="shared" si="1"/>
        <v>ATRASADO</v>
      </c>
    </row>
    <row r="62" spans="2:11">
      <c r="B62" s="10"/>
      <c r="C62" s="16"/>
      <c r="D62" s="13"/>
      <c r="E62" s="19"/>
      <c r="F62" s="60"/>
      <c r="G62" s="32"/>
      <c r="H62" s="208"/>
      <c r="I62" s="90"/>
      <c r="J62" s="90" t="str">
        <f t="shared" si="0"/>
        <v/>
      </c>
      <c r="K62" s="68"/>
    </row>
    <row r="63" spans="2:11">
      <c r="B63" s="20">
        <v>43101</v>
      </c>
      <c r="C63" s="16">
        <v>1500000089</v>
      </c>
      <c r="D63" s="13" t="s">
        <v>569</v>
      </c>
      <c r="E63" s="19" t="s">
        <v>570</v>
      </c>
      <c r="F63" s="60">
        <v>2311</v>
      </c>
      <c r="G63" s="32">
        <v>87000</v>
      </c>
      <c r="H63" s="209">
        <v>43101</v>
      </c>
      <c r="I63" s="90">
        <v>0</v>
      </c>
      <c r="J63" s="90">
        <f t="shared" si="0"/>
        <v>87000</v>
      </c>
      <c r="K63" s="90" t="str">
        <f t="shared" si="1"/>
        <v>ATRASADO</v>
      </c>
    </row>
    <row r="64" spans="2:11">
      <c r="B64" s="20">
        <v>43101</v>
      </c>
      <c r="C64" s="16">
        <v>1500000092</v>
      </c>
      <c r="D64" s="13" t="s">
        <v>569</v>
      </c>
      <c r="E64" s="19" t="s">
        <v>570</v>
      </c>
      <c r="F64" s="60">
        <v>2311</v>
      </c>
      <c r="G64" s="32">
        <v>3000</v>
      </c>
      <c r="H64" s="209">
        <v>43101</v>
      </c>
      <c r="I64" s="90">
        <v>0</v>
      </c>
      <c r="J64" s="90">
        <f t="shared" si="0"/>
        <v>3000</v>
      </c>
      <c r="K64" s="90" t="str">
        <f t="shared" si="1"/>
        <v>ATRASADO</v>
      </c>
    </row>
    <row r="65" spans="2:11">
      <c r="B65" s="20"/>
      <c r="C65" s="16"/>
      <c r="D65" s="13"/>
      <c r="E65" s="19"/>
      <c r="F65" s="60"/>
      <c r="G65" s="32"/>
      <c r="H65" s="209"/>
      <c r="I65" s="90"/>
      <c r="J65" s="90" t="str">
        <f t="shared" si="0"/>
        <v/>
      </c>
      <c r="K65" s="68"/>
    </row>
    <row r="66" spans="2:11">
      <c r="B66" s="10">
        <v>43446</v>
      </c>
      <c r="C66" s="17" t="s">
        <v>646</v>
      </c>
      <c r="D66" s="13" t="s">
        <v>590</v>
      </c>
      <c r="E66" s="19" t="s">
        <v>591</v>
      </c>
      <c r="F66" s="60">
        <v>2241</v>
      </c>
      <c r="G66" s="32">
        <v>20800</v>
      </c>
      <c r="H66" s="208">
        <v>43446</v>
      </c>
      <c r="I66" s="90">
        <v>0</v>
      </c>
      <c r="J66" s="90">
        <f t="shared" si="0"/>
        <v>20800</v>
      </c>
      <c r="K66" s="90" t="str">
        <f t="shared" si="1"/>
        <v>ATRASADO</v>
      </c>
    </row>
    <row r="67" spans="2:11">
      <c r="B67" s="10">
        <v>43373</v>
      </c>
      <c r="C67" s="17" t="s">
        <v>632</v>
      </c>
      <c r="D67" s="13" t="s">
        <v>590</v>
      </c>
      <c r="E67" s="19" t="s">
        <v>591</v>
      </c>
      <c r="F67" s="60">
        <v>2241</v>
      </c>
      <c r="G67" s="32">
        <v>17200</v>
      </c>
      <c r="H67" s="208">
        <v>43373</v>
      </c>
      <c r="I67" s="90">
        <v>0</v>
      </c>
      <c r="J67" s="90">
        <f t="shared" si="0"/>
        <v>17200</v>
      </c>
      <c r="K67" s="90" t="str">
        <f t="shared" si="1"/>
        <v>ATRASADO</v>
      </c>
    </row>
    <row r="68" spans="2:11">
      <c r="B68" s="10"/>
      <c r="C68" s="17"/>
      <c r="D68" s="86"/>
      <c r="E68" s="19"/>
      <c r="F68" s="60"/>
      <c r="G68" s="32"/>
      <c r="H68" s="208"/>
      <c r="I68" s="90"/>
      <c r="J68" s="90" t="str">
        <f t="shared" si="0"/>
        <v/>
      </c>
      <c r="K68" s="68"/>
    </row>
    <row r="69" spans="2:11">
      <c r="B69" s="10">
        <v>41963</v>
      </c>
      <c r="C69" s="17" t="s">
        <v>121</v>
      </c>
      <c r="D69" s="13" t="s">
        <v>122</v>
      </c>
      <c r="E69" s="19" t="s">
        <v>123</v>
      </c>
      <c r="F69" s="60">
        <v>2272</v>
      </c>
      <c r="G69" s="32">
        <v>40496</v>
      </c>
      <c r="H69" s="208">
        <v>41963</v>
      </c>
      <c r="I69" s="90">
        <v>0</v>
      </c>
      <c r="J69" s="90">
        <f t="shared" si="0"/>
        <v>40496</v>
      </c>
      <c r="K69" s="90" t="str">
        <f t="shared" si="1"/>
        <v>ATRASADO</v>
      </c>
    </row>
    <row r="70" spans="2:11">
      <c r="B70" s="10"/>
      <c r="C70" s="17"/>
      <c r="D70" s="13"/>
      <c r="E70" s="19"/>
      <c r="F70" s="60"/>
      <c r="G70" s="32"/>
      <c r="H70" s="208"/>
      <c r="I70" s="90"/>
      <c r="J70" s="90" t="str">
        <f t="shared" si="0"/>
        <v/>
      </c>
      <c r="K70" s="68"/>
    </row>
    <row r="71" spans="2:11">
      <c r="B71" s="10">
        <v>41191</v>
      </c>
      <c r="C71" s="16">
        <v>1500000606</v>
      </c>
      <c r="D71" s="13" t="s">
        <v>124</v>
      </c>
      <c r="E71" s="19" t="s">
        <v>102</v>
      </c>
      <c r="F71" s="60">
        <v>2221</v>
      </c>
      <c r="G71" s="32">
        <v>78532</v>
      </c>
      <c r="H71" s="208">
        <v>41191</v>
      </c>
      <c r="I71" s="90">
        <v>0</v>
      </c>
      <c r="J71" s="90">
        <f t="shared" si="0"/>
        <v>78532</v>
      </c>
      <c r="K71" s="90" t="str">
        <f t="shared" si="1"/>
        <v>ATRASADO</v>
      </c>
    </row>
    <row r="72" spans="2:11">
      <c r="B72" s="10">
        <v>40915</v>
      </c>
      <c r="C72" s="12">
        <v>797</v>
      </c>
      <c r="D72" s="13" t="s">
        <v>124</v>
      </c>
      <c r="E72" s="19" t="s">
        <v>102</v>
      </c>
      <c r="F72" s="60">
        <v>2221</v>
      </c>
      <c r="G72" s="32">
        <v>370575</v>
      </c>
      <c r="H72" s="208">
        <v>40915</v>
      </c>
      <c r="I72" s="90">
        <v>0</v>
      </c>
      <c r="J72" s="90">
        <f t="shared" si="0"/>
        <v>370575</v>
      </c>
      <c r="K72" s="90" t="str">
        <f t="shared" si="1"/>
        <v>ATRASADO</v>
      </c>
    </row>
    <row r="73" spans="2:11">
      <c r="B73" s="10"/>
      <c r="C73" s="49"/>
      <c r="D73" s="105"/>
      <c r="E73" s="19"/>
      <c r="F73" s="60"/>
      <c r="G73" s="32"/>
      <c r="H73" s="208"/>
      <c r="I73" s="90"/>
      <c r="J73" s="90" t="str">
        <f t="shared" si="0"/>
        <v/>
      </c>
      <c r="K73" s="68"/>
    </row>
    <row r="74" spans="2:11">
      <c r="B74" s="10" t="s">
        <v>1449</v>
      </c>
      <c r="C74" s="49" t="s">
        <v>1450</v>
      </c>
      <c r="D74" s="13" t="s">
        <v>912</v>
      </c>
      <c r="E74" s="19" t="s">
        <v>102</v>
      </c>
      <c r="F74" s="60">
        <v>2221</v>
      </c>
      <c r="G74" s="32">
        <v>59000</v>
      </c>
      <c r="H74" s="208" t="s">
        <v>1449</v>
      </c>
      <c r="I74" s="90">
        <v>0</v>
      </c>
      <c r="J74" s="90">
        <f t="shared" si="0"/>
        <v>59000</v>
      </c>
      <c r="K74" s="90" t="str">
        <f t="shared" si="1"/>
        <v>ATRASADO</v>
      </c>
    </row>
    <row r="75" spans="2:11">
      <c r="B75" s="10" t="s">
        <v>1449</v>
      </c>
      <c r="C75" s="49" t="s">
        <v>913</v>
      </c>
      <c r="D75" s="13" t="s">
        <v>912</v>
      </c>
      <c r="E75" s="19" t="s">
        <v>102</v>
      </c>
      <c r="F75" s="60">
        <v>2221</v>
      </c>
      <c r="G75" s="32">
        <v>59000</v>
      </c>
      <c r="H75" s="208" t="s">
        <v>1449</v>
      </c>
      <c r="I75" s="90">
        <v>0</v>
      </c>
      <c r="J75" s="90">
        <f t="shared" si="0"/>
        <v>59000</v>
      </c>
      <c r="K75" s="90" t="str">
        <f t="shared" si="1"/>
        <v>ATRASADO</v>
      </c>
    </row>
    <row r="76" spans="2:11">
      <c r="B76" s="10">
        <v>44534</v>
      </c>
      <c r="C76" s="49" t="s">
        <v>1451</v>
      </c>
      <c r="D76" s="13" t="s">
        <v>912</v>
      </c>
      <c r="E76" s="19" t="s">
        <v>102</v>
      </c>
      <c r="F76" s="60">
        <v>2221</v>
      </c>
      <c r="G76" s="32">
        <v>59000</v>
      </c>
      <c r="H76" s="208">
        <v>44534</v>
      </c>
      <c r="I76" s="90">
        <v>0</v>
      </c>
      <c r="J76" s="90">
        <f t="shared" si="0"/>
        <v>59000</v>
      </c>
      <c r="K76" s="90" t="str">
        <f t="shared" si="1"/>
        <v>ATRASADO</v>
      </c>
    </row>
    <row r="77" spans="2:11">
      <c r="B77" s="10">
        <v>44203</v>
      </c>
      <c r="C77" s="49" t="s">
        <v>1452</v>
      </c>
      <c r="D77" s="13" t="s">
        <v>912</v>
      </c>
      <c r="E77" s="19" t="s">
        <v>102</v>
      </c>
      <c r="F77" s="60">
        <v>2221</v>
      </c>
      <c r="G77" s="32">
        <v>59000</v>
      </c>
      <c r="H77" s="208">
        <v>44203</v>
      </c>
      <c r="I77" s="90">
        <v>0</v>
      </c>
      <c r="J77" s="90">
        <f t="shared" si="0"/>
        <v>59000</v>
      </c>
      <c r="K77" s="90" t="str">
        <f t="shared" si="1"/>
        <v>ATRASADO</v>
      </c>
    </row>
    <row r="78" spans="2:11">
      <c r="B78" s="10">
        <v>44203</v>
      </c>
      <c r="C78" s="49" t="s">
        <v>928</v>
      </c>
      <c r="D78" s="13" t="s">
        <v>912</v>
      </c>
      <c r="E78" s="19" t="s">
        <v>102</v>
      </c>
      <c r="F78" s="60">
        <v>2221</v>
      </c>
      <c r="G78" s="32">
        <v>59000</v>
      </c>
      <c r="H78" s="208">
        <v>44203</v>
      </c>
      <c r="I78" s="90">
        <v>0</v>
      </c>
      <c r="J78" s="90">
        <f t="shared" si="0"/>
        <v>59000</v>
      </c>
      <c r="K78" s="90" t="str">
        <f t="shared" si="1"/>
        <v>ATRASADO</v>
      </c>
    </row>
    <row r="79" spans="2:11">
      <c r="B79" s="10"/>
      <c r="C79" s="49"/>
      <c r="D79" s="13"/>
      <c r="E79" s="19"/>
      <c r="F79" s="60"/>
      <c r="G79" s="32"/>
      <c r="H79" s="208"/>
      <c r="I79" s="90"/>
      <c r="J79" s="90" t="str">
        <f t="shared" si="0"/>
        <v/>
      </c>
      <c r="K79" s="68"/>
    </row>
    <row r="80" spans="2:11">
      <c r="B80" s="11">
        <v>41488</v>
      </c>
      <c r="C80" s="16">
        <v>1500000082</v>
      </c>
      <c r="D80" s="13" t="s">
        <v>19</v>
      </c>
      <c r="E80" s="19" t="s">
        <v>20</v>
      </c>
      <c r="F80" s="60">
        <v>2254</v>
      </c>
      <c r="G80" s="32">
        <v>1408750</v>
      </c>
      <c r="H80" s="87">
        <v>41488</v>
      </c>
      <c r="I80" s="90">
        <v>0</v>
      </c>
      <c r="J80" s="90">
        <f t="shared" ref="J80:J143" si="2">IF(G80&gt;0,G80,"")</f>
        <v>1408750</v>
      </c>
      <c r="K80" s="90" t="str">
        <f t="shared" si="1"/>
        <v>ATRASADO</v>
      </c>
    </row>
    <row r="81" spans="2:11">
      <c r="B81" s="11">
        <v>41506</v>
      </c>
      <c r="C81" s="16">
        <v>1500000087</v>
      </c>
      <c r="D81" s="13" t="s">
        <v>19</v>
      </c>
      <c r="E81" s="19" t="s">
        <v>20</v>
      </c>
      <c r="F81" s="60">
        <v>2254</v>
      </c>
      <c r="G81" s="32">
        <v>1092500.19</v>
      </c>
      <c r="H81" s="87">
        <v>41506</v>
      </c>
      <c r="I81" s="90">
        <v>0</v>
      </c>
      <c r="J81" s="90">
        <f t="shared" si="2"/>
        <v>1092500.19</v>
      </c>
      <c r="K81" s="90" t="str">
        <f t="shared" si="1"/>
        <v>ATRASADO</v>
      </c>
    </row>
    <row r="82" spans="2:11">
      <c r="B82" s="11">
        <v>41513</v>
      </c>
      <c r="C82" s="16">
        <v>1500000088</v>
      </c>
      <c r="D82" s="13" t="s">
        <v>19</v>
      </c>
      <c r="E82" s="19" t="s">
        <v>20</v>
      </c>
      <c r="F82" s="60">
        <v>2254</v>
      </c>
      <c r="G82" s="32">
        <v>288000</v>
      </c>
      <c r="H82" s="87">
        <v>41513</v>
      </c>
      <c r="I82" s="90">
        <v>0</v>
      </c>
      <c r="J82" s="90">
        <f t="shared" si="2"/>
        <v>288000</v>
      </c>
      <c r="K82" s="90" t="str">
        <f t="shared" si="1"/>
        <v>ATRASADO</v>
      </c>
    </row>
    <row r="83" spans="2:11">
      <c r="B83" s="11">
        <v>41610</v>
      </c>
      <c r="C83" s="16">
        <v>1500000125</v>
      </c>
      <c r="D83" s="13" t="s">
        <v>19</v>
      </c>
      <c r="E83" s="19" t="s">
        <v>20</v>
      </c>
      <c r="F83" s="60">
        <v>2254</v>
      </c>
      <c r="G83" s="32">
        <v>825000</v>
      </c>
      <c r="H83" s="87">
        <v>41610</v>
      </c>
      <c r="I83" s="90">
        <v>0</v>
      </c>
      <c r="J83" s="90">
        <f t="shared" si="2"/>
        <v>825000</v>
      </c>
      <c r="K83" s="90" t="str">
        <f t="shared" si="1"/>
        <v>ATRASADO</v>
      </c>
    </row>
    <row r="84" spans="2:11">
      <c r="B84" s="11">
        <v>41639</v>
      </c>
      <c r="C84" s="16">
        <v>1500000130</v>
      </c>
      <c r="D84" s="13" t="s">
        <v>19</v>
      </c>
      <c r="E84" s="19" t="s">
        <v>20</v>
      </c>
      <c r="F84" s="60">
        <v>2254</v>
      </c>
      <c r="G84" s="32">
        <v>825000</v>
      </c>
      <c r="H84" s="87">
        <v>41639</v>
      </c>
      <c r="I84" s="90">
        <v>0</v>
      </c>
      <c r="J84" s="90">
        <f t="shared" si="2"/>
        <v>825000</v>
      </c>
      <c r="K84" s="90" t="str">
        <f t="shared" si="1"/>
        <v>ATRASADO</v>
      </c>
    </row>
    <row r="85" spans="2:11">
      <c r="B85" s="11">
        <v>41670</v>
      </c>
      <c r="C85" s="16">
        <v>1500000134</v>
      </c>
      <c r="D85" s="13" t="s">
        <v>19</v>
      </c>
      <c r="E85" s="19" t="s">
        <v>20</v>
      </c>
      <c r="F85" s="60">
        <v>2254</v>
      </c>
      <c r="G85" s="32">
        <v>755000</v>
      </c>
      <c r="H85" s="87">
        <v>41670</v>
      </c>
      <c r="I85" s="90">
        <v>0</v>
      </c>
      <c r="J85" s="90">
        <f t="shared" si="2"/>
        <v>755000</v>
      </c>
      <c r="K85" s="90" t="str">
        <f t="shared" si="1"/>
        <v>ATRASADO</v>
      </c>
    </row>
    <row r="86" spans="2:11">
      <c r="B86" s="11">
        <v>41698</v>
      </c>
      <c r="C86" s="16">
        <v>1500000137</v>
      </c>
      <c r="D86" s="13" t="s">
        <v>19</v>
      </c>
      <c r="E86" s="19" t="s">
        <v>20</v>
      </c>
      <c r="F86" s="60">
        <v>2254</v>
      </c>
      <c r="G86" s="32">
        <v>318500</v>
      </c>
      <c r="H86" s="87">
        <v>41698</v>
      </c>
      <c r="I86" s="90">
        <v>0</v>
      </c>
      <c r="J86" s="90">
        <f t="shared" si="2"/>
        <v>318500</v>
      </c>
      <c r="K86" s="90" t="str">
        <f t="shared" si="1"/>
        <v>ATRASADO</v>
      </c>
    </row>
    <row r="87" spans="2:11">
      <c r="B87" s="11">
        <v>42261</v>
      </c>
      <c r="C87" s="16">
        <v>1500000180</v>
      </c>
      <c r="D87" s="13" t="s">
        <v>19</v>
      </c>
      <c r="E87" s="19" t="s">
        <v>20</v>
      </c>
      <c r="F87" s="60">
        <v>2254</v>
      </c>
      <c r="G87" s="32">
        <v>270000</v>
      </c>
      <c r="H87" s="87">
        <v>42261</v>
      </c>
      <c r="I87" s="90">
        <v>0</v>
      </c>
      <c r="J87" s="90">
        <f t="shared" si="2"/>
        <v>270000</v>
      </c>
      <c r="K87" s="90" t="str">
        <f t="shared" si="1"/>
        <v>ATRASADO</v>
      </c>
    </row>
    <row r="88" spans="2:11">
      <c r="B88" s="11">
        <v>42261</v>
      </c>
      <c r="C88" s="16">
        <v>1500000181</v>
      </c>
      <c r="D88" s="13" t="s">
        <v>19</v>
      </c>
      <c r="E88" s="19" t="s">
        <v>20</v>
      </c>
      <c r="F88" s="60">
        <v>2254</v>
      </c>
      <c r="G88" s="32">
        <v>270000</v>
      </c>
      <c r="H88" s="87">
        <v>42261</v>
      </c>
      <c r="I88" s="90">
        <v>0</v>
      </c>
      <c r="J88" s="90">
        <f t="shared" si="2"/>
        <v>270000</v>
      </c>
      <c r="K88" s="90" t="str">
        <f t="shared" si="1"/>
        <v>ATRASADO</v>
      </c>
    </row>
    <row r="89" spans="2:11">
      <c r="B89" s="11">
        <v>42261</v>
      </c>
      <c r="C89" s="16">
        <v>1500000182</v>
      </c>
      <c r="D89" s="13" t="s">
        <v>19</v>
      </c>
      <c r="E89" s="19" t="s">
        <v>20</v>
      </c>
      <c r="F89" s="60">
        <v>2254</v>
      </c>
      <c r="G89" s="32">
        <v>270000</v>
      </c>
      <c r="H89" s="87">
        <v>42261</v>
      </c>
      <c r="I89" s="90">
        <v>0</v>
      </c>
      <c r="J89" s="90">
        <f t="shared" si="2"/>
        <v>270000</v>
      </c>
      <c r="K89" s="90" t="str">
        <f t="shared" si="1"/>
        <v>ATRASADO</v>
      </c>
    </row>
    <row r="90" spans="2:11">
      <c r="B90" s="11"/>
      <c r="C90" s="16"/>
      <c r="D90" s="13"/>
      <c r="E90" s="19"/>
      <c r="F90" s="60"/>
      <c r="G90" s="32"/>
      <c r="H90" s="87"/>
      <c r="I90" s="90"/>
      <c r="J90" s="90" t="str">
        <f t="shared" si="2"/>
        <v/>
      </c>
      <c r="K90" s="68"/>
    </row>
    <row r="91" spans="2:11">
      <c r="B91" s="11" t="s">
        <v>1453</v>
      </c>
      <c r="C91" s="16" t="s">
        <v>1454</v>
      </c>
      <c r="D91" s="13" t="s">
        <v>1455</v>
      </c>
      <c r="E91" s="19" t="s">
        <v>102</v>
      </c>
      <c r="F91" s="60">
        <v>2221</v>
      </c>
      <c r="G91" s="32">
        <v>23600</v>
      </c>
      <c r="H91" s="87" t="s">
        <v>1453</v>
      </c>
      <c r="I91" s="90">
        <v>0</v>
      </c>
      <c r="J91" s="90">
        <f t="shared" si="2"/>
        <v>23600</v>
      </c>
      <c r="K91" s="90" t="str">
        <f t="shared" si="1"/>
        <v>ATRASADO</v>
      </c>
    </row>
    <row r="92" spans="2:11">
      <c r="B92" s="11" t="s">
        <v>1453</v>
      </c>
      <c r="C92" s="16" t="s">
        <v>979</v>
      </c>
      <c r="D92" s="13" t="s">
        <v>1455</v>
      </c>
      <c r="E92" s="19" t="s">
        <v>102</v>
      </c>
      <c r="F92" s="60">
        <v>2221</v>
      </c>
      <c r="G92" s="32">
        <v>23600</v>
      </c>
      <c r="H92" s="87" t="s">
        <v>1453</v>
      </c>
      <c r="I92" s="90">
        <v>0</v>
      </c>
      <c r="J92" s="90">
        <f t="shared" si="2"/>
        <v>23600</v>
      </c>
      <c r="K92" s="90" t="str">
        <f t="shared" si="1"/>
        <v>ATRASADO</v>
      </c>
    </row>
    <row r="93" spans="2:11">
      <c r="B93" s="11" t="s">
        <v>1453</v>
      </c>
      <c r="C93" s="16" t="s">
        <v>1456</v>
      </c>
      <c r="D93" s="13" t="s">
        <v>1455</v>
      </c>
      <c r="E93" s="19" t="s">
        <v>102</v>
      </c>
      <c r="F93" s="60">
        <v>2221</v>
      </c>
      <c r="G93" s="32">
        <v>23600</v>
      </c>
      <c r="H93" s="87" t="s">
        <v>1453</v>
      </c>
      <c r="I93" s="90">
        <v>0</v>
      </c>
      <c r="J93" s="90">
        <f t="shared" si="2"/>
        <v>23600</v>
      </c>
      <c r="K93" s="90" t="str">
        <f t="shared" si="1"/>
        <v>ATRASADO</v>
      </c>
    </row>
    <row r="94" spans="2:11">
      <c r="B94" s="11" t="s">
        <v>1453</v>
      </c>
      <c r="C94" s="16" t="s">
        <v>980</v>
      </c>
      <c r="D94" s="13" t="s">
        <v>1455</v>
      </c>
      <c r="E94" s="19" t="s">
        <v>102</v>
      </c>
      <c r="F94" s="60">
        <v>2221</v>
      </c>
      <c r="G94" s="32">
        <v>23600</v>
      </c>
      <c r="H94" s="87" t="s">
        <v>1453</v>
      </c>
      <c r="I94" s="90">
        <v>0</v>
      </c>
      <c r="J94" s="90">
        <f t="shared" si="2"/>
        <v>23600</v>
      </c>
      <c r="K94" s="90" t="str">
        <f t="shared" si="1"/>
        <v>ATRASADO</v>
      </c>
    </row>
    <row r="95" spans="2:11">
      <c r="B95" s="11" t="s">
        <v>1453</v>
      </c>
      <c r="C95" s="16" t="s">
        <v>744</v>
      </c>
      <c r="D95" s="13" t="s">
        <v>1455</v>
      </c>
      <c r="E95" s="19" t="s">
        <v>102</v>
      </c>
      <c r="F95" s="60">
        <v>2221</v>
      </c>
      <c r="G95" s="32">
        <v>23600</v>
      </c>
      <c r="H95" s="87" t="s">
        <v>1453</v>
      </c>
      <c r="I95" s="90">
        <v>0</v>
      </c>
      <c r="J95" s="90">
        <f t="shared" si="2"/>
        <v>23600</v>
      </c>
      <c r="K95" s="90" t="str">
        <f t="shared" si="1"/>
        <v>ATRASADO</v>
      </c>
    </row>
    <row r="96" spans="2:11">
      <c r="B96" s="11" t="s">
        <v>1453</v>
      </c>
      <c r="C96" s="16" t="s">
        <v>981</v>
      </c>
      <c r="D96" s="13" t="s">
        <v>1455</v>
      </c>
      <c r="E96" s="19" t="s">
        <v>102</v>
      </c>
      <c r="F96" s="60">
        <v>2221</v>
      </c>
      <c r="G96" s="32">
        <v>23600</v>
      </c>
      <c r="H96" s="87" t="s">
        <v>1453</v>
      </c>
      <c r="I96" s="90">
        <v>0</v>
      </c>
      <c r="J96" s="90">
        <f t="shared" si="2"/>
        <v>23600</v>
      </c>
      <c r="K96" s="90" t="str">
        <f t="shared" si="1"/>
        <v>ATRASADO</v>
      </c>
    </row>
    <row r="97" spans="2:11">
      <c r="B97" s="11" t="s">
        <v>1453</v>
      </c>
      <c r="C97" s="16" t="s">
        <v>982</v>
      </c>
      <c r="D97" s="13" t="s">
        <v>1455</v>
      </c>
      <c r="E97" s="19" t="s">
        <v>102</v>
      </c>
      <c r="F97" s="60">
        <v>2221</v>
      </c>
      <c r="G97" s="32">
        <v>23600</v>
      </c>
      <c r="H97" s="87" t="s">
        <v>1453</v>
      </c>
      <c r="I97" s="90">
        <v>0</v>
      </c>
      <c r="J97" s="90">
        <f t="shared" si="2"/>
        <v>23600</v>
      </c>
      <c r="K97" s="90" t="str">
        <f t="shared" si="1"/>
        <v>ATRASADO</v>
      </c>
    </row>
    <row r="98" spans="2:11">
      <c r="B98" s="11"/>
      <c r="C98" s="16"/>
      <c r="D98" s="13"/>
      <c r="E98" s="19"/>
      <c r="F98" s="60"/>
      <c r="G98" s="32"/>
      <c r="H98" s="87"/>
      <c r="I98" s="90"/>
      <c r="J98" s="90" t="str">
        <f t="shared" si="2"/>
        <v/>
      </c>
      <c r="K98" s="68"/>
    </row>
    <row r="99" spans="2:11">
      <c r="B99" s="10" t="s">
        <v>1457</v>
      </c>
      <c r="C99" s="111" t="s">
        <v>1458</v>
      </c>
      <c r="D99" s="13" t="s">
        <v>598</v>
      </c>
      <c r="E99" s="19" t="s">
        <v>597</v>
      </c>
      <c r="F99" s="60">
        <v>2213</v>
      </c>
      <c r="G99" s="32">
        <f>209819.04-7682.03</f>
        <v>202137.01</v>
      </c>
      <c r="H99" s="208" t="s">
        <v>1457</v>
      </c>
      <c r="I99" s="90">
        <v>0</v>
      </c>
      <c r="J99" s="90">
        <f t="shared" si="2"/>
        <v>202137.01</v>
      </c>
      <c r="K99" s="90" t="str">
        <f t="shared" si="1"/>
        <v>ATRASADO</v>
      </c>
    </row>
    <row r="100" spans="2:11">
      <c r="B100" s="10" t="s">
        <v>1457</v>
      </c>
      <c r="C100" s="111" t="s">
        <v>1459</v>
      </c>
      <c r="D100" s="13" t="s">
        <v>598</v>
      </c>
      <c r="E100" s="19" t="s">
        <v>597</v>
      </c>
      <c r="F100" s="60">
        <v>2213</v>
      </c>
      <c r="G100" s="32">
        <v>286783.49</v>
      </c>
      <c r="H100" s="208" t="s">
        <v>1457</v>
      </c>
      <c r="I100" s="90">
        <v>0</v>
      </c>
      <c r="J100" s="90">
        <f t="shared" si="2"/>
        <v>286783.49</v>
      </c>
      <c r="K100" s="90" t="str">
        <f t="shared" si="1"/>
        <v>ATRASADO</v>
      </c>
    </row>
    <row r="101" spans="2:11">
      <c r="B101" s="10" t="s">
        <v>1460</v>
      </c>
      <c r="C101" s="111" t="s">
        <v>1461</v>
      </c>
      <c r="D101" s="13" t="s">
        <v>598</v>
      </c>
      <c r="E101" s="19" t="s">
        <v>597</v>
      </c>
      <c r="F101" s="60">
        <v>2213</v>
      </c>
      <c r="G101" s="32">
        <v>209802.75</v>
      </c>
      <c r="H101" s="208" t="s">
        <v>1460</v>
      </c>
      <c r="I101" s="90">
        <v>0</v>
      </c>
      <c r="J101" s="90">
        <f t="shared" si="2"/>
        <v>209802.75</v>
      </c>
      <c r="K101" s="90" t="str">
        <f t="shared" si="1"/>
        <v>ATRASADO</v>
      </c>
    </row>
    <row r="102" spans="2:11">
      <c r="B102" s="10" t="s">
        <v>1460</v>
      </c>
      <c r="C102" s="111" t="s">
        <v>1462</v>
      </c>
      <c r="D102" s="13" t="s">
        <v>598</v>
      </c>
      <c r="E102" s="19" t="s">
        <v>597</v>
      </c>
      <c r="F102" s="60">
        <v>2213</v>
      </c>
      <c r="G102" s="32">
        <v>280413.37</v>
      </c>
      <c r="H102" s="208" t="s">
        <v>1460</v>
      </c>
      <c r="I102" s="90">
        <v>0</v>
      </c>
      <c r="J102" s="90">
        <f t="shared" si="2"/>
        <v>280413.37</v>
      </c>
      <c r="K102" s="90" t="str">
        <f t="shared" si="1"/>
        <v>ATRASADO</v>
      </c>
    </row>
    <row r="103" spans="2:11">
      <c r="B103" s="10" t="s">
        <v>956</v>
      </c>
      <c r="C103" s="111" t="s">
        <v>957</v>
      </c>
      <c r="D103" s="13" t="s">
        <v>598</v>
      </c>
      <c r="E103" s="19" t="s">
        <v>597</v>
      </c>
      <c r="F103" s="60">
        <v>2213</v>
      </c>
      <c r="G103" s="32">
        <v>231015.59</v>
      </c>
      <c r="H103" s="208">
        <v>44508</v>
      </c>
      <c r="I103" s="90">
        <v>0</v>
      </c>
      <c r="J103" s="90">
        <f t="shared" si="2"/>
        <v>231015.59</v>
      </c>
      <c r="K103" s="90" t="s">
        <v>1052</v>
      </c>
    </row>
    <row r="104" spans="2:11">
      <c r="B104" s="10" t="s">
        <v>956</v>
      </c>
      <c r="C104" s="111" t="s">
        <v>958</v>
      </c>
      <c r="D104" s="13" t="s">
        <v>598</v>
      </c>
      <c r="E104" s="19" t="s">
        <v>597</v>
      </c>
      <c r="F104" s="60">
        <v>2213</v>
      </c>
      <c r="G104" s="32">
        <v>301216.12</v>
      </c>
      <c r="H104" s="208">
        <v>44508</v>
      </c>
      <c r="I104" s="90">
        <v>0</v>
      </c>
      <c r="J104" s="90">
        <f t="shared" si="2"/>
        <v>301216.12</v>
      </c>
      <c r="K104" s="90" t="s">
        <v>1052</v>
      </c>
    </row>
    <row r="105" spans="2:11">
      <c r="B105" s="10"/>
      <c r="C105" s="17"/>
      <c r="D105" s="13"/>
      <c r="E105" s="19"/>
      <c r="F105" s="60"/>
      <c r="G105" s="32"/>
      <c r="H105" s="208"/>
      <c r="I105" s="90"/>
      <c r="J105" s="90" t="str">
        <f t="shared" si="2"/>
        <v/>
      </c>
      <c r="K105" s="68"/>
    </row>
    <row r="106" spans="2:11" ht="24.75">
      <c r="B106" s="10">
        <v>41274</v>
      </c>
      <c r="C106" s="16">
        <v>100008923</v>
      </c>
      <c r="D106" s="13" t="s">
        <v>139</v>
      </c>
      <c r="E106" s="19" t="s">
        <v>467</v>
      </c>
      <c r="F106" s="60">
        <v>2311</v>
      </c>
      <c r="G106" s="32">
        <v>32625</v>
      </c>
      <c r="H106" s="208">
        <v>41274</v>
      </c>
      <c r="I106" s="90">
        <v>0</v>
      </c>
      <c r="J106" s="90">
        <f t="shared" si="2"/>
        <v>32625</v>
      </c>
      <c r="K106" s="90" t="str">
        <f t="shared" si="1"/>
        <v>ATRASADO</v>
      </c>
    </row>
    <row r="107" spans="2:11" ht="24.75">
      <c r="B107" s="10">
        <v>40632</v>
      </c>
      <c r="C107" s="16">
        <v>100008847</v>
      </c>
      <c r="D107" s="13" t="s">
        <v>139</v>
      </c>
      <c r="E107" s="19" t="s">
        <v>467</v>
      </c>
      <c r="F107" s="60">
        <v>2311</v>
      </c>
      <c r="G107" s="32">
        <v>24000</v>
      </c>
      <c r="H107" s="208">
        <v>40632</v>
      </c>
      <c r="I107" s="90">
        <v>0</v>
      </c>
      <c r="J107" s="90">
        <f t="shared" si="2"/>
        <v>24000</v>
      </c>
      <c r="K107" s="90" t="str">
        <f t="shared" ref="K107:K170" si="3">IF(J107&gt;0,"ATRASADO","")</f>
        <v>ATRASADO</v>
      </c>
    </row>
    <row r="108" spans="2:11" ht="24.75">
      <c r="B108" s="10">
        <v>40666</v>
      </c>
      <c r="C108" s="16">
        <v>100008854</v>
      </c>
      <c r="D108" s="13" t="s">
        <v>139</v>
      </c>
      <c r="E108" s="19" t="s">
        <v>467</v>
      </c>
      <c r="F108" s="60">
        <v>2311</v>
      </c>
      <c r="G108" s="32">
        <v>35475</v>
      </c>
      <c r="H108" s="208">
        <v>40666</v>
      </c>
      <c r="I108" s="90">
        <v>0</v>
      </c>
      <c r="J108" s="90">
        <f t="shared" si="2"/>
        <v>35475</v>
      </c>
      <c r="K108" s="90" t="str">
        <f t="shared" si="3"/>
        <v>ATRASADO</v>
      </c>
    </row>
    <row r="109" spans="2:11" ht="24.75">
      <c r="B109" s="10">
        <v>40694</v>
      </c>
      <c r="C109" s="16">
        <v>100008858</v>
      </c>
      <c r="D109" s="13" t="s">
        <v>139</v>
      </c>
      <c r="E109" s="19" t="s">
        <v>467</v>
      </c>
      <c r="F109" s="60">
        <v>2311</v>
      </c>
      <c r="G109" s="32">
        <v>45675</v>
      </c>
      <c r="H109" s="208">
        <v>40694</v>
      </c>
      <c r="I109" s="90">
        <v>0</v>
      </c>
      <c r="J109" s="90">
        <f t="shared" si="2"/>
        <v>45675</v>
      </c>
      <c r="K109" s="90" t="str">
        <f t="shared" si="3"/>
        <v>ATRASADO</v>
      </c>
    </row>
    <row r="110" spans="2:11" ht="24.75">
      <c r="B110" s="10">
        <v>40724</v>
      </c>
      <c r="C110" s="16">
        <v>100008863</v>
      </c>
      <c r="D110" s="13" t="s">
        <v>139</v>
      </c>
      <c r="E110" s="19" t="s">
        <v>467</v>
      </c>
      <c r="F110" s="60">
        <v>2311</v>
      </c>
      <c r="G110" s="32">
        <v>43500</v>
      </c>
      <c r="H110" s="208">
        <v>40724</v>
      </c>
      <c r="I110" s="90">
        <v>0</v>
      </c>
      <c r="J110" s="90">
        <f t="shared" si="2"/>
        <v>43500</v>
      </c>
      <c r="K110" s="90" t="str">
        <f t="shared" si="3"/>
        <v>ATRASADO</v>
      </c>
    </row>
    <row r="111" spans="2:11" ht="24.75">
      <c r="B111" s="10">
        <v>40816</v>
      </c>
      <c r="C111" s="16">
        <v>100008886</v>
      </c>
      <c r="D111" s="13" t="s">
        <v>139</v>
      </c>
      <c r="E111" s="19" t="s">
        <v>467</v>
      </c>
      <c r="F111" s="60">
        <v>2311</v>
      </c>
      <c r="G111" s="32">
        <v>47850</v>
      </c>
      <c r="H111" s="208">
        <v>40816</v>
      </c>
      <c r="I111" s="90">
        <v>0</v>
      </c>
      <c r="J111" s="90">
        <f t="shared" si="2"/>
        <v>47850</v>
      </c>
      <c r="K111" s="90" t="str">
        <f t="shared" si="3"/>
        <v>ATRASADO</v>
      </c>
    </row>
    <row r="112" spans="2:11" ht="24.75">
      <c r="B112" s="10">
        <v>40847</v>
      </c>
      <c r="C112" s="16">
        <v>100008894</v>
      </c>
      <c r="D112" s="13" t="s">
        <v>139</v>
      </c>
      <c r="E112" s="19" t="s">
        <v>467</v>
      </c>
      <c r="F112" s="60">
        <v>2311</v>
      </c>
      <c r="G112" s="32">
        <v>45675</v>
      </c>
      <c r="H112" s="208">
        <v>40847</v>
      </c>
      <c r="I112" s="90">
        <v>0</v>
      </c>
      <c r="J112" s="90">
        <f t="shared" si="2"/>
        <v>45675</v>
      </c>
      <c r="K112" s="90" t="str">
        <f t="shared" si="3"/>
        <v>ATRASADO</v>
      </c>
    </row>
    <row r="113" spans="2:11" ht="24.75">
      <c r="B113" s="10">
        <v>40907</v>
      </c>
      <c r="C113" s="16">
        <v>100008912</v>
      </c>
      <c r="D113" s="13" t="s">
        <v>139</v>
      </c>
      <c r="E113" s="19" t="s">
        <v>467</v>
      </c>
      <c r="F113" s="60">
        <v>2311</v>
      </c>
      <c r="G113" s="32">
        <v>15225</v>
      </c>
      <c r="H113" s="208">
        <v>40907</v>
      </c>
      <c r="I113" s="90">
        <v>0</v>
      </c>
      <c r="J113" s="90">
        <f t="shared" si="2"/>
        <v>15225</v>
      </c>
      <c r="K113" s="90" t="str">
        <f t="shared" si="3"/>
        <v>ATRASADO</v>
      </c>
    </row>
    <row r="114" spans="2:11" ht="24.75">
      <c r="B114" s="10">
        <v>40968</v>
      </c>
      <c r="C114" s="16">
        <v>100008932</v>
      </c>
      <c r="D114" s="13" t="s">
        <v>139</v>
      </c>
      <c r="E114" s="19" t="s">
        <v>467</v>
      </c>
      <c r="F114" s="60">
        <v>2311</v>
      </c>
      <c r="G114" s="32">
        <v>43500</v>
      </c>
      <c r="H114" s="208">
        <v>40968</v>
      </c>
      <c r="I114" s="90">
        <v>0</v>
      </c>
      <c r="J114" s="90">
        <f t="shared" si="2"/>
        <v>43500</v>
      </c>
      <c r="K114" s="90" t="str">
        <f t="shared" si="3"/>
        <v>ATRASADO</v>
      </c>
    </row>
    <row r="115" spans="2:11" ht="24.75">
      <c r="B115" s="10">
        <v>40999</v>
      </c>
      <c r="C115" s="16">
        <v>100008940</v>
      </c>
      <c r="D115" s="13" t="s">
        <v>139</v>
      </c>
      <c r="E115" s="19" t="s">
        <v>467</v>
      </c>
      <c r="F115" s="60">
        <v>2311</v>
      </c>
      <c r="G115" s="32">
        <v>43500</v>
      </c>
      <c r="H115" s="208">
        <v>40999</v>
      </c>
      <c r="I115" s="90">
        <v>0</v>
      </c>
      <c r="J115" s="90">
        <f t="shared" si="2"/>
        <v>43500</v>
      </c>
      <c r="K115" s="90" t="str">
        <f t="shared" si="3"/>
        <v>ATRASADO</v>
      </c>
    </row>
    <row r="116" spans="2:11" ht="24.75">
      <c r="B116" s="10">
        <v>41029</v>
      </c>
      <c r="C116" s="16">
        <v>100008949</v>
      </c>
      <c r="D116" s="13" t="s">
        <v>139</v>
      </c>
      <c r="E116" s="19" t="s">
        <v>467</v>
      </c>
      <c r="F116" s="60">
        <v>2311</v>
      </c>
      <c r="G116" s="32">
        <v>34800</v>
      </c>
      <c r="H116" s="208">
        <v>41029</v>
      </c>
      <c r="I116" s="90">
        <v>0</v>
      </c>
      <c r="J116" s="90">
        <f t="shared" si="2"/>
        <v>34800</v>
      </c>
      <c r="K116" s="90" t="str">
        <f t="shared" si="3"/>
        <v>ATRASADO</v>
      </c>
    </row>
    <row r="117" spans="2:11" ht="24.75">
      <c r="B117" s="10">
        <v>41059</v>
      </c>
      <c r="C117" s="16">
        <v>100008967</v>
      </c>
      <c r="D117" s="13" t="s">
        <v>139</v>
      </c>
      <c r="E117" s="19" t="s">
        <v>467</v>
      </c>
      <c r="F117" s="60">
        <v>2311</v>
      </c>
      <c r="G117" s="32">
        <v>45675</v>
      </c>
      <c r="H117" s="208">
        <v>41059</v>
      </c>
      <c r="I117" s="90">
        <v>0</v>
      </c>
      <c r="J117" s="90">
        <f t="shared" si="2"/>
        <v>45675</v>
      </c>
      <c r="K117" s="90" t="str">
        <f t="shared" si="3"/>
        <v>ATRASADO</v>
      </c>
    </row>
    <row r="118" spans="2:11">
      <c r="B118" s="10"/>
      <c r="C118" s="16"/>
      <c r="D118" s="13"/>
      <c r="E118" s="19"/>
      <c r="F118" s="60"/>
      <c r="G118" s="32"/>
      <c r="H118" s="208"/>
      <c r="I118" s="90"/>
      <c r="J118" s="90" t="str">
        <f t="shared" si="2"/>
        <v/>
      </c>
      <c r="K118" s="68"/>
    </row>
    <row r="119" spans="2:11">
      <c r="B119" s="10" t="s">
        <v>960</v>
      </c>
      <c r="C119" s="16" t="s">
        <v>959</v>
      </c>
      <c r="D119" s="13" t="s">
        <v>891</v>
      </c>
      <c r="E119" s="19" t="s">
        <v>467</v>
      </c>
      <c r="F119" s="60">
        <v>2311</v>
      </c>
      <c r="G119" s="32">
        <v>69000</v>
      </c>
      <c r="H119" s="208" t="s">
        <v>960</v>
      </c>
      <c r="I119" s="90">
        <v>0</v>
      </c>
      <c r="J119" s="90">
        <f t="shared" si="2"/>
        <v>69000</v>
      </c>
      <c r="K119" s="90" t="str">
        <f t="shared" si="3"/>
        <v>ATRASADO</v>
      </c>
    </row>
    <row r="120" spans="2:11">
      <c r="B120" s="10"/>
      <c r="C120" s="16"/>
      <c r="D120" s="13"/>
      <c r="E120" s="19"/>
      <c r="F120" s="60"/>
      <c r="G120" s="32"/>
      <c r="H120" s="208"/>
      <c r="I120" s="90"/>
      <c r="J120" s="90" t="str">
        <f t="shared" si="2"/>
        <v/>
      </c>
      <c r="K120" s="68"/>
    </row>
    <row r="121" spans="2:11">
      <c r="B121" s="10">
        <v>41850</v>
      </c>
      <c r="C121" s="17">
        <v>1500000003</v>
      </c>
      <c r="D121" s="13" t="s">
        <v>137</v>
      </c>
      <c r="E121" s="19" t="s">
        <v>6</v>
      </c>
      <c r="F121" s="60">
        <v>2254</v>
      </c>
      <c r="G121" s="32">
        <v>45000.01</v>
      </c>
      <c r="H121" s="208">
        <v>41850</v>
      </c>
      <c r="I121" s="90">
        <v>0</v>
      </c>
      <c r="J121" s="90">
        <f t="shared" si="2"/>
        <v>45000.01</v>
      </c>
      <c r="K121" s="90" t="str">
        <f t="shared" si="3"/>
        <v>ATRASADO</v>
      </c>
    </row>
    <row r="122" spans="2:11">
      <c r="B122" s="10"/>
      <c r="C122" s="28"/>
      <c r="D122" s="13"/>
      <c r="E122" s="19"/>
      <c r="F122" s="60"/>
      <c r="G122" s="32"/>
      <c r="H122" s="208"/>
      <c r="I122" s="90"/>
      <c r="J122" s="90" t="str">
        <f t="shared" si="2"/>
        <v/>
      </c>
      <c r="K122" s="68"/>
    </row>
    <row r="123" spans="2:11">
      <c r="B123" s="10" t="s">
        <v>978</v>
      </c>
      <c r="C123" s="25" t="s">
        <v>974</v>
      </c>
      <c r="D123" s="13" t="s">
        <v>125</v>
      </c>
      <c r="E123" s="19" t="s">
        <v>126</v>
      </c>
      <c r="F123" s="60">
        <v>2111</v>
      </c>
      <c r="G123" s="32">
        <v>411961.08</v>
      </c>
      <c r="H123" s="208" t="s">
        <v>978</v>
      </c>
      <c r="I123" s="90">
        <v>0</v>
      </c>
      <c r="J123" s="90">
        <f t="shared" si="2"/>
        <v>411961.08</v>
      </c>
      <c r="K123" s="90" t="str">
        <f t="shared" si="3"/>
        <v>ATRASADO</v>
      </c>
    </row>
    <row r="124" spans="2:11">
      <c r="B124" s="10"/>
      <c r="C124" s="25"/>
      <c r="D124" s="13"/>
      <c r="E124" s="19"/>
      <c r="F124" s="60"/>
      <c r="G124" s="32"/>
      <c r="H124" s="208"/>
      <c r="I124" s="90"/>
      <c r="J124" s="90" t="str">
        <f t="shared" si="2"/>
        <v/>
      </c>
      <c r="K124" s="90"/>
    </row>
    <row r="125" spans="2:11">
      <c r="B125" s="10">
        <v>41458</v>
      </c>
      <c r="C125" s="16">
        <v>1500002020</v>
      </c>
      <c r="D125" s="13" t="s">
        <v>135</v>
      </c>
      <c r="E125" s="19" t="s">
        <v>136</v>
      </c>
      <c r="F125" s="60">
        <v>2253</v>
      </c>
      <c r="G125" s="32">
        <v>231.37</v>
      </c>
      <c r="H125" s="208">
        <v>41458</v>
      </c>
      <c r="I125" s="90">
        <v>0</v>
      </c>
      <c r="J125" s="90">
        <f t="shared" si="2"/>
        <v>231.37</v>
      </c>
      <c r="K125" s="90" t="str">
        <f t="shared" si="3"/>
        <v>ATRASADO</v>
      </c>
    </row>
    <row r="126" spans="2:11">
      <c r="B126" s="10">
        <v>41461</v>
      </c>
      <c r="C126" s="16">
        <v>1500002027</v>
      </c>
      <c r="D126" s="13" t="s">
        <v>135</v>
      </c>
      <c r="E126" s="19" t="s">
        <v>136</v>
      </c>
      <c r="F126" s="60">
        <v>2253</v>
      </c>
      <c r="G126" s="32">
        <v>1020.7</v>
      </c>
      <c r="H126" s="208">
        <v>41461</v>
      </c>
      <c r="I126" s="90">
        <v>0</v>
      </c>
      <c r="J126" s="90">
        <f t="shared" si="2"/>
        <v>1020.7</v>
      </c>
      <c r="K126" s="90" t="str">
        <f t="shared" si="3"/>
        <v>ATRASADO</v>
      </c>
    </row>
    <row r="127" spans="2:11">
      <c r="B127" s="10">
        <v>41484</v>
      </c>
      <c r="C127" s="16">
        <v>1500002059</v>
      </c>
      <c r="D127" s="13" t="s">
        <v>135</v>
      </c>
      <c r="E127" s="19" t="s">
        <v>136</v>
      </c>
      <c r="F127" s="60">
        <v>2253</v>
      </c>
      <c r="G127" s="32">
        <v>9002.8799999999992</v>
      </c>
      <c r="H127" s="208">
        <v>41484</v>
      </c>
      <c r="I127" s="90">
        <v>0</v>
      </c>
      <c r="J127" s="90">
        <f t="shared" si="2"/>
        <v>9002.8799999999992</v>
      </c>
      <c r="K127" s="90" t="str">
        <f t="shared" si="3"/>
        <v>ATRASADO</v>
      </c>
    </row>
    <row r="128" spans="2:11">
      <c r="B128" s="10">
        <v>41540</v>
      </c>
      <c r="C128" s="16">
        <v>1500002127</v>
      </c>
      <c r="D128" s="13" t="s">
        <v>135</v>
      </c>
      <c r="E128" s="19" t="s">
        <v>136</v>
      </c>
      <c r="F128" s="60">
        <v>2253</v>
      </c>
      <c r="G128" s="32">
        <v>5865.28</v>
      </c>
      <c r="H128" s="208">
        <v>41540</v>
      </c>
      <c r="I128" s="90">
        <v>0</v>
      </c>
      <c r="J128" s="90">
        <f t="shared" si="2"/>
        <v>5865.28</v>
      </c>
      <c r="K128" s="90" t="str">
        <f t="shared" si="3"/>
        <v>ATRASADO</v>
      </c>
    </row>
    <row r="129" spans="2:11">
      <c r="B129" s="10">
        <v>41550</v>
      </c>
      <c r="C129" s="16">
        <v>1500002138</v>
      </c>
      <c r="D129" s="13" t="s">
        <v>135</v>
      </c>
      <c r="E129" s="19" t="s">
        <v>136</v>
      </c>
      <c r="F129" s="60">
        <v>2253</v>
      </c>
      <c r="G129" s="32">
        <v>7664.17</v>
      </c>
      <c r="H129" s="208">
        <v>41550</v>
      </c>
      <c r="I129" s="90">
        <v>0</v>
      </c>
      <c r="J129" s="90">
        <f t="shared" si="2"/>
        <v>7664.17</v>
      </c>
      <c r="K129" s="90" t="str">
        <f t="shared" si="3"/>
        <v>ATRASADO</v>
      </c>
    </row>
    <row r="130" spans="2:11">
      <c r="B130" s="10">
        <v>41597</v>
      </c>
      <c r="C130" s="16">
        <v>1500002185</v>
      </c>
      <c r="D130" s="13" t="s">
        <v>135</v>
      </c>
      <c r="E130" s="19" t="s">
        <v>136</v>
      </c>
      <c r="F130" s="60">
        <v>2253</v>
      </c>
      <c r="G130" s="32">
        <v>21720.26</v>
      </c>
      <c r="H130" s="208">
        <v>41597</v>
      </c>
      <c r="I130" s="90">
        <v>0</v>
      </c>
      <c r="J130" s="90">
        <f t="shared" si="2"/>
        <v>21720.26</v>
      </c>
      <c r="K130" s="90" t="str">
        <f t="shared" si="3"/>
        <v>ATRASADO</v>
      </c>
    </row>
    <row r="131" spans="2:11">
      <c r="B131" s="10">
        <v>41597</v>
      </c>
      <c r="C131" s="16">
        <v>1500002186</v>
      </c>
      <c r="D131" s="13" t="s">
        <v>135</v>
      </c>
      <c r="E131" s="19" t="s">
        <v>136</v>
      </c>
      <c r="F131" s="60">
        <v>2253</v>
      </c>
      <c r="G131" s="32">
        <v>433.65</v>
      </c>
      <c r="H131" s="208">
        <v>41597</v>
      </c>
      <c r="I131" s="90">
        <v>0</v>
      </c>
      <c r="J131" s="90">
        <f t="shared" si="2"/>
        <v>433.65</v>
      </c>
      <c r="K131" s="90" t="str">
        <f t="shared" si="3"/>
        <v>ATRASADO</v>
      </c>
    </row>
    <row r="132" spans="2:11">
      <c r="B132" s="10">
        <v>41599</v>
      </c>
      <c r="C132" s="16">
        <v>1500002189</v>
      </c>
      <c r="D132" s="13" t="s">
        <v>135</v>
      </c>
      <c r="E132" s="19" t="s">
        <v>136</v>
      </c>
      <c r="F132" s="60">
        <v>2253</v>
      </c>
      <c r="G132" s="32">
        <v>10372.200000000001</v>
      </c>
      <c r="H132" s="208">
        <v>41599</v>
      </c>
      <c r="I132" s="90">
        <v>0</v>
      </c>
      <c r="J132" s="90">
        <f t="shared" si="2"/>
        <v>10372.200000000001</v>
      </c>
      <c r="K132" s="90" t="str">
        <f t="shared" si="3"/>
        <v>ATRASADO</v>
      </c>
    </row>
    <row r="133" spans="2:11">
      <c r="B133" s="10">
        <v>41597</v>
      </c>
      <c r="C133" s="16">
        <v>1500002190</v>
      </c>
      <c r="D133" s="13" t="s">
        <v>135</v>
      </c>
      <c r="E133" s="19" t="s">
        <v>136</v>
      </c>
      <c r="F133" s="60">
        <v>2253</v>
      </c>
      <c r="G133" s="32">
        <v>8365.17</v>
      </c>
      <c r="H133" s="208">
        <v>41597</v>
      </c>
      <c r="I133" s="90">
        <v>0</v>
      </c>
      <c r="J133" s="90">
        <f t="shared" si="2"/>
        <v>8365.17</v>
      </c>
      <c r="K133" s="90" t="str">
        <f t="shared" si="3"/>
        <v>ATRASADO</v>
      </c>
    </row>
    <row r="134" spans="2:11">
      <c r="B134" s="10">
        <v>41600</v>
      </c>
      <c r="C134" s="16">
        <v>1500002191</v>
      </c>
      <c r="D134" s="13" t="s">
        <v>135</v>
      </c>
      <c r="E134" s="19" t="s">
        <v>136</v>
      </c>
      <c r="F134" s="60">
        <v>2253</v>
      </c>
      <c r="G134" s="32">
        <v>9530.86</v>
      </c>
      <c r="H134" s="208">
        <v>41600</v>
      </c>
      <c r="I134" s="90">
        <v>0</v>
      </c>
      <c r="J134" s="90">
        <f t="shared" si="2"/>
        <v>9530.86</v>
      </c>
      <c r="K134" s="90" t="str">
        <f t="shared" si="3"/>
        <v>ATRASADO</v>
      </c>
    </row>
    <row r="135" spans="2:11">
      <c r="B135" s="10">
        <v>41600</v>
      </c>
      <c r="C135" s="16">
        <v>1500002192</v>
      </c>
      <c r="D135" s="13" t="s">
        <v>135</v>
      </c>
      <c r="E135" s="19" t="s">
        <v>136</v>
      </c>
      <c r="F135" s="60">
        <v>2253</v>
      </c>
      <c r="G135" s="32">
        <v>6957.21</v>
      </c>
      <c r="H135" s="208">
        <v>41600</v>
      </c>
      <c r="I135" s="90">
        <v>0</v>
      </c>
      <c r="J135" s="90">
        <f t="shared" si="2"/>
        <v>6957.21</v>
      </c>
      <c r="K135" s="90" t="str">
        <f t="shared" si="3"/>
        <v>ATRASADO</v>
      </c>
    </row>
    <row r="136" spans="2:11">
      <c r="B136" s="10">
        <v>41676</v>
      </c>
      <c r="C136" s="16">
        <v>1500002251</v>
      </c>
      <c r="D136" s="13" t="s">
        <v>135</v>
      </c>
      <c r="E136" s="19" t="s">
        <v>136</v>
      </c>
      <c r="F136" s="60">
        <v>2253</v>
      </c>
      <c r="G136" s="32">
        <v>4272.21</v>
      </c>
      <c r="H136" s="208">
        <v>41676</v>
      </c>
      <c r="I136" s="90">
        <v>0</v>
      </c>
      <c r="J136" s="90">
        <f t="shared" si="2"/>
        <v>4272.21</v>
      </c>
      <c r="K136" s="90" t="str">
        <f t="shared" si="3"/>
        <v>ATRASADO</v>
      </c>
    </row>
    <row r="137" spans="2:11">
      <c r="B137" s="10">
        <v>41694</v>
      </c>
      <c r="C137" s="16">
        <v>1500002277</v>
      </c>
      <c r="D137" s="13" t="s">
        <v>135</v>
      </c>
      <c r="E137" s="19" t="s">
        <v>136</v>
      </c>
      <c r="F137" s="60">
        <v>2253</v>
      </c>
      <c r="G137" s="32">
        <v>3283.35</v>
      </c>
      <c r="H137" s="208">
        <v>41694</v>
      </c>
      <c r="I137" s="90">
        <v>0</v>
      </c>
      <c r="J137" s="90">
        <f t="shared" si="2"/>
        <v>3283.35</v>
      </c>
      <c r="K137" s="90" t="str">
        <f t="shared" si="3"/>
        <v>ATRASADO</v>
      </c>
    </row>
    <row r="138" spans="2:11">
      <c r="B138" s="10">
        <v>41696</v>
      </c>
      <c r="C138" s="16">
        <v>1500002280</v>
      </c>
      <c r="D138" s="13" t="s">
        <v>135</v>
      </c>
      <c r="E138" s="19" t="s">
        <v>136</v>
      </c>
      <c r="F138" s="60">
        <v>2253</v>
      </c>
      <c r="G138" s="32">
        <v>6844</v>
      </c>
      <c r="H138" s="208">
        <v>41696</v>
      </c>
      <c r="I138" s="90">
        <v>0</v>
      </c>
      <c r="J138" s="90">
        <f t="shared" si="2"/>
        <v>6844</v>
      </c>
      <c r="K138" s="90" t="str">
        <f t="shared" si="3"/>
        <v>ATRASADO</v>
      </c>
    </row>
    <row r="139" spans="2:11">
      <c r="B139" s="10">
        <v>41750</v>
      </c>
      <c r="C139" s="16">
        <v>1500002337</v>
      </c>
      <c r="D139" s="13" t="s">
        <v>135</v>
      </c>
      <c r="E139" s="19" t="s">
        <v>136</v>
      </c>
      <c r="F139" s="60">
        <v>2253</v>
      </c>
      <c r="G139" s="32">
        <v>1422.51</v>
      </c>
      <c r="H139" s="208">
        <v>41750</v>
      </c>
      <c r="I139" s="90">
        <v>0</v>
      </c>
      <c r="J139" s="90">
        <f t="shared" si="2"/>
        <v>1422.51</v>
      </c>
      <c r="K139" s="90" t="str">
        <f t="shared" si="3"/>
        <v>ATRASADO</v>
      </c>
    </row>
    <row r="140" spans="2:11">
      <c r="B140" s="10">
        <v>41752</v>
      </c>
      <c r="C140" s="16">
        <v>1500002343</v>
      </c>
      <c r="D140" s="13" t="s">
        <v>135</v>
      </c>
      <c r="E140" s="19" t="s">
        <v>136</v>
      </c>
      <c r="F140" s="60">
        <v>2253</v>
      </c>
      <c r="G140" s="32">
        <v>3283.35</v>
      </c>
      <c r="H140" s="208">
        <v>41752</v>
      </c>
      <c r="I140" s="90">
        <v>0</v>
      </c>
      <c r="J140" s="90">
        <f t="shared" si="2"/>
        <v>3283.35</v>
      </c>
      <c r="K140" s="90" t="str">
        <f t="shared" si="3"/>
        <v>ATRASADO</v>
      </c>
    </row>
    <row r="141" spans="2:11">
      <c r="B141" s="10">
        <v>41772</v>
      </c>
      <c r="C141" s="16">
        <v>1500002366</v>
      </c>
      <c r="D141" s="13" t="s">
        <v>135</v>
      </c>
      <c r="E141" s="19" t="s">
        <v>136</v>
      </c>
      <c r="F141" s="60">
        <v>2253</v>
      </c>
      <c r="G141" s="32">
        <v>260880.3</v>
      </c>
      <c r="H141" s="208">
        <v>41772</v>
      </c>
      <c r="I141" s="90">
        <v>0</v>
      </c>
      <c r="J141" s="90">
        <f t="shared" si="2"/>
        <v>260880.3</v>
      </c>
      <c r="K141" s="90" t="str">
        <f t="shared" si="3"/>
        <v>ATRASADO</v>
      </c>
    </row>
    <row r="142" spans="2:11">
      <c r="B142" s="10">
        <v>41801</v>
      </c>
      <c r="C142" s="16">
        <v>1500002397</v>
      </c>
      <c r="D142" s="13" t="s">
        <v>135</v>
      </c>
      <c r="E142" s="19" t="s">
        <v>136</v>
      </c>
      <c r="F142" s="60">
        <v>2253</v>
      </c>
      <c r="G142" s="32">
        <v>261542.28</v>
      </c>
      <c r="H142" s="208">
        <v>41801</v>
      </c>
      <c r="I142" s="90">
        <v>0</v>
      </c>
      <c r="J142" s="90">
        <f t="shared" si="2"/>
        <v>261542.28</v>
      </c>
      <c r="K142" s="90" t="str">
        <f t="shared" si="3"/>
        <v>ATRASADO</v>
      </c>
    </row>
    <row r="143" spans="2:11">
      <c r="B143" s="10">
        <v>41832</v>
      </c>
      <c r="C143" s="16">
        <v>1500002420</v>
      </c>
      <c r="D143" s="13" t="s">
        <v>135</v>
      </c>
      <c r="E143" s="19" t="s">
        <v>136</v>
      </c>
      <c r="F143" s="60">
        <v>2253</v>
      </c>
      <c r="G143" s="32">
        <v>262685.7</v>
      </c>
      <c r="H143" s="208">
        <v>41832</v>
      </c>
      <c r="I143" s="90">
        <v>0</v>
      </c>
      <c r="J143" s="90">
        <f t="shared" si="2"/>
        <v>262685.7</v>
      </c>
      <c r="K143" s="90" t="str">
        <f t="shared" si="3"/>
        <v>ATRASADO</v>
      </c>
    </row>
    <row r="144" spans="2:11">
      <c r="B144" s="10">
        <v>41870</v>
      </c>
      <c r="C144" s="16">
        <v>1500002454</v>
      </c>
      <c r="D144" s="13" t="s">
        <v>135</v>
      </c>
      <c r="E144" s="19" t="s">
        <v>136</v>
      </c>
      <c r="F144" s="60">
        <v>2253</v>
      </c>
      <c r="G144" s="32">
        <v>261662.64</v>
      </c>
      <c r="H144" s="208">
        <v>41870</v>
      </c>
      <c r="I144" s="90">
        <v>0</v>
      </c>
      <c r="J144" s="90">
        <f t="shared" ref="J144:J207" si="4">IF(G144&gt;0,G144,"")</f>
        <v>261662.64</v>
      </c>
      <c r="K144" s="90" t="str">
        <f t="shared" si="3"/>
        <v>ATRASADO</v>
      </c>
    </row>
    <row r="145" spans="2:11">
      <c r="B145" s="10">
        <v>41901</v>
      </c>
      <c r="C145" s="16">
        <v>1500002486</v>
      </c>
      <c r="D145" s="13" t="s">
        <v>135</v>
      </c>
      <c r="E145" s="19" t="s">
        <v>136</v>
      </c>
      <c r="F145" s="60">
        <v>2253</v>
      </c>
      <c r="G145" s="32">
        <v>262685.7</v>
      </c>
      <c r="H145" s="208">
        <v>41901</v>
      </c>
      <c r="I145" s="90">
        <v>0</v>
      </c>
      <c r="J145" s="90">
        <f t="shared" si="4"/>
        <v>262685.7</v>
      </c>
      <c r="K145" s="90" t="str">
        <f t="shared" si="3"/>
        <v>ATRASADO</v>
      </c>
    </row>
    <row r="146" spans="2:11">
      <c r="B146" s="10">
        <v>41928</v>
      </c>
      <c r="C146" s="16">
        <v>1500002520</v>
      </c>
      <c r="D146" s="13" t="s">
        <v>135</v>
      </c>
      <c r="E146" s="19" t="s">
        <v>136</v>
      </c>
      <c r="F146" s="60">
        <v>2253</v>
      </c>
      <c r="G146" s="32">
        <v>263949.48</v>
      </c>
      <c r="H146" s="208">
        <v>41928</v>
      </c>
      <c r="I146" s="90">
        <v>0</v>
      </c>
      <c r="J146" s="90">
        <f t="shared" si="4"/>
        <v>263949.48</v>
      </c>
      <c r="K146" s="90" t="str">
        <f t="shared" si="3"/>
        <v>ATRASADO</v>
      </c>
    </row>
    <row r="147" spans="2:11">
      <c r="B147" s="10">
        <v>41961</v>
      </c>
      <c r="C147" s="16">
        <v>1500002556</v>
      </c>
      <c r="D147" s="13" t="s">
        <v>135</v>
      </c>
      <c r="E147" s="19" t="s">
        <v>136</v>
      </c>
      <c r="F147" s="60">
        <v>2253</v>
      </c>
      <c r="G147" s="32">
        <v>265694.7</v>
      </c>
      <c r="H147" s="208">
        <v>41961</v>
      </c>
      <c r="I147" s="90">
        <v>0</v>
      </c>
      <c r="J147" s="90">
        <f t="shared" si="4"/>
        <v>265694.7</v>
      </c>
      <c r="K147" s="90" t="str">
        <f t="shared" si="3"/>
        <v>ATRASADO</v>
      </c>
    </row>
    <row r="148" spans="2:11">
      <c r="B148" s="10">
        <v>41985</v>
      </c>
      <c r="C148" s="16">
        <v>1500002581</v>
      </c>
      <c r="D148" s="13" t="s">
        <v>135</v>
      </c>
      <c r="E148" s="19" t="s">
        <v>136</v>
      </c>
      <c r="F148" s="60">
        <v>2253</v>
      </c>
      <c r="G148" s="32">
        <v>265995.59999999998</v>
      </c>
      <c r="H148" s="208">
        <v>41985</v>
      </c>
      <c r="I148" s="90">
        <v>0</v>
      </c>
      <c r="J148" s="90">
        <f t="shared" si="4"/>
        <v>265995.59999999998</v>
      </c>
      <c r="K148" s="90" t="str">
        <f t="shared" si="3"/>
        <v>ATRASADO</v>
      </c>
    </row>
    <row r="149" spans="2:11">
      <c r="B149" s="10">
        <v>42023</v>
      </c>
      <c r="C149" s="16">
        <v>1500002607</v>
      </c>
      <c r="D149" s="13" t="s">
        <v>135</v>
      </c>
      <c r="E149" s="19" t="s">
        <v>136</v>
      </c>
      <c r="F149" s="60">
        <v>2253</v>
      </c>
      <c r="G149" s="32">
        <v>268342.62</v>
      </c>
      <c r="H149" s="208">
        <v>42023</v>
      </c>
      <c r="I149" s="90">
        <v>0</v>
      </c>
      <c r="J149" s="90">
        <f t="shared" si="4"/>
        <v>268342.62</v>
      </c>
      <c r="K149" s="90" t="str">
        <f t="shared" si="3"/>
        <v>ATRASADO</v>
      </c>
    </row>
    <row r="150" spans="2:11">
      <c r="B150" s="10">
        <v>42046</v>
      </c>
      <c r="C150" s="16">
        <v>1500002630</v>
      </c>
      <c r="D150" s="13" t="s">
        <v>135</v>
      </c>
      <c r="E150" s="19" t="s">
        <v>136</v>
      </c>
      <c r="F150" s="60">
        <v>2253</v>
      </c>
      <c r="G150" s="32">
        <v>272013.59999999998</v>
      </c>
      <c r="H150" s="208">
        <v>42046</v>
      </c>
      <c r="I150" s="90">
        <v>0</v>
      </c>
      <c r="J150" s="90">
        <f t="shared" si="4"/>
        <v>272013.59999999998</v>
      </c>
      <c r="K150" s="90" t="str">
        <f t="shared" si="3"/>
        <v>ATRASADO</v>
      </c>
    </row>
    <row r="151" spans="2:11">
      <c r="B151" s="10">
        <v>42074</v>
      </c>
      <c r="C151" s="16">
        <v>1500002656</v>
      </c>
      <c r="D151" s="13" t="s">
        <v>135</v>
      </c>
      <c r="E151" s="19" t="s">
        <v>136</v>
      </c>
      <c r="F151" s="60">
        <v>2253</v>
      </c>
      <c r="G151" s="32">
        <v>270208.2</v>
      </c>
      <c r="H151" s="208">
        <v>42074</v>
      </c>
      <c r="I151" s="90">
        <v>0</v>
      </c>
      <c r="J151" s="90">
        <f t="shared" si="4"/>
        <v>270208.2</v>
      </c>
      <c r="K151" s="90" t="str">
        <f t="shared" si="3"/>
        <v>ATRASADO</v>
      </c>
    </row>
    <row r="152" spans="2:11">
      <c r="B152" s="10">
        <v>42108</v>
      </c>
      <c r="C152" s="16">
        <v>1500002693</v>
      </c>
      <c r="D152" s="13" t="s">
        <v>135</v>
      </c>
      <c r="E152" s="19" t="s">
        <v>136</v>
      </c>
      <c r="F152" s="60">
        <v>2253</v>
      </c>
      <c r="G152" s="32">
        <v>270509.09999999998</v>
      </c>
      <c r="H152" s="208">
        <v>42108</v>
      </c>
      <c r="I152" s="90">
        <v>0</v>
      </c>
      <c r="J152" s="90">
        <f t="shared" si="4"/>
        <v>270509.09999999998</v>
      </c>
      <c r="K152" s="90" t="str">
        <f t="shared" si="3"/>
        <v>ATRASADO</v>
      </c>
    </row>
    <row r="153" spans="2:11">
      <c r="B153" s="10">
        <v>42226</v>
      </c>
      <c r="C153" s="16">
        <v>1500002842</v>
      </c>
      <c r="D153" s="13" t="s">
        <v>135</v>
      </c>
      <c r="E153" s="19" t="s">
        <v>136</v>
      </c>
      <c r="F153" s="60">
        <v>2253</v>
      </c>
      <c r="G153" s="32">
        <v>1086850.8</v>
      </c>
      <c r="H153" s="208">
        <v>42226</v>
      </c>
      <c r="I153" s="90">
        <v>0</v>
      </c>
      <c r="J153" s="90">
        <f t="shared" si="4"/>
        <v>1086850.8</v>
      </c>
      <c r="K153" s="90" t="str">
        <f t="shared" si="3"/>
        <v>ATRASADO</v>
      </c>
    </row>
    <row r="154" spans="2:11">
      <c r="B154" s="10">
        <v>42257</v>
      </c>
      <c r="C154" s="16">
        <v>1500002876</v>
      </c>
      <c r="D154" s="13" t="s">
        <v>135</v>
      </c>
      <c r="E154" s="19" t="s">
        <v>136</v>
      </c>
      <c r="F154" s="60">
        <v>2253</v>
      </c>
      <c r="G154" s="32">
        <v>271833.06</v>
      </c>
      <c r="H154" s="208">
        <v>42257</v>
      </c>
      <c r="I154" s="90">
        <v>0</v>
      </c>
      <c r="J154" s="90">
        <f t="shared" si="4"/>
        <v>271833.06</v>
      </c>
      <c r="K154" s="90" t="str">
        <f t="shared" si="3"/>
        <v>ATRASADO</v>
      </c>
    </row>
    <row r="155" spans="2:11">
      <c r="B155" s="10">
        <v>42402</v>
      </c>
      <c r="C155" s="16">
        <v>1500003025</v>
      </c>
      <c r="D155" s="13" t="s">
        <v>135</v>
      </c>
      <c r="E155" s="19" t="s">
        <v>136</v>
      </c>
      <c r="F155" s="60">
        <v>2253</v>
      </c>
      <c r="G155" s="32">
        <v>6608</v>
      </c>
      <c r="H155" s="208">
        <v>42402</v>
      </c>
      <c r="I155" s="90">
        <v>0</v>
      </c>
      <c r="J155" s="90">
        <f t="shared" si="4"/>
        <v>6608</v>
      </c>
      <c r="K155" s="90" t="str">
        <f t="shared" si="3"/>
        <v>ATRASADO</v>
      </c>
    </row>
    <row r="156" spans="2:11">
      <c r="B156" s="10"/>
      <c r="C156" s="16"/>
      <c r="D156" s="13"/>
      <c r="E156" s="19"/>
      <c r="F156" s="60"/>
      <c r="G156" s="32"/>
      <c r="H156" s="208"/>
      <c r="I156" s="90"/>
      <c r="J156" s="90" t="str">
        <f t="shared" si="4"/>
        <v/>
      </c>
      <c r="K156" s="90"/>
    </row>
    <row r="157" spans="2:11">
      <c r="B157" s="10">
        <v>40402</v>
      </c>
      <c r="C157" s="12">
        <v>1500002133</v>
      </c>
      <c r="D157" s="13" t="s">
        <v>140</v>
      </c>
      <c r="E157" s="19" t="s">
        <v>104</v>
      </c>
      <c r="F157" s="60">
        <v>2317</v>
      </c>
      <c r="G157" s="32">
        <v>4952.3500000000004</v>
      </c>
      <c r="H157" s="208">
        <v>40402</v>
      </c>
      <c r="I157" s="90">
        <v>0</v>
      </c>
      <c r="J157" s="90">
        <f t="shared" si="4"/>
        <v>4952.3500000000004</v>
      </c>
      <c r="K157" s="90" t="str">
        <f t="shared" si="3"/>
        <v>ATRASADO</v>
      </c>
    </row>
    <row r="158" spans="2:11">
      <c r="B158" s="10">
        <v>40402</v>
      </c>
      <c r="C158" s="12">
        <v>1500002451</v>
      </c>
      <c r="D158" s="13" t="s">
        <v>140</v>
      </c>
      <c r="E158" s="19" t="s">
        <v>104</v>
      </c>
      <c r="F158" s="60">
        <v>2317</v>
      </c>
      <c r="G158" s="32">
        <v>6701.3</v>
      </c>
      <c r="H158" s="208">
        <v>40402</v>
      </c>
      <c r="I158" s="90">
        <v>0</v>
      </c>
      <c r="J158" s="90">
        <f t="shared" si="4"/>
        <v>6701.3</v>
      </c>
      <c r="K158" s="90" t="str">
        <f t="shared" si="3"/>
        <v>ATRASADO</v>
      </c>
    </row>
    <row r="159" spans="2:11">
      <c r="B159" s="10">
        <v>41336</v>
      </c>
      <c r="C159" s="12">
        <v>1500010748</v>
      </c>
      <c r="D159" s="13" t="s">
        <v>140</v>
      </c>
      <c r="E159" s="19" t="s">
        <v>104</v>
      </c>
      <c r="F159" s="60">
        <v>2317</v>
      </c>
      <c r="G159" s="32">
        <v>23492</v>
      </c>
      <c r="H159" s="208">
        <v>41336</v>
      </c>
      <c r="I159" s="90">
        <v>0</v>
      </c>
      <c r="J159" s="90">
        <f t="shared" si="4"/>
        <v>23492</v>
      </c>
      <c r="K159" s="90" t="str">
        <f t="shared" si="3"/>
        <v>ATRASADO</v>
      </c>
    </row>
    <row r="160" spans="2:11">
      <c r="B160" s="10">
        <v>41460</v>
      </c>
      <c r="C160" s="12">
        <v>1500011566</v>
      </c>
      <c r="D160" s="13" t="s">
        <v>140</v>
      </c>
      <c r="E160" s="19" t="s">
        <v>104</v>
      </c>
      <c r="F160" s="60">
        <v>2317</v>
      </c>
      <c r="G160" s="32">
        <v>21668</v>
      </c>
      <c r="H160" s="208">
        <v>41460</v>
      </c>
      <c r="I160" s="90">
        <v>0</v>
      </c>
      <c r="J160" s="90">
        <f t="shared" si="4"/>
        <v>21668</v>
      </c>
      <c r="K160" s="90" t="str">
        <f t="shared" si="3"/>
        <v>ATRASADO</v>
      </c>
    </row>
    <row r="161" spans="2:11">
      <c r="B161" s="10">
        <v>42309</v>
      </c>
      <c r="C161" s="16">
        <v>1500016257</v>
      </c>
      <c r="D161" s="13" t="s">
        <v>140</v>
      </c>
      <c r="E161" s="19" t="s">
        <v>104</v>
      </c>
      <c r="F161" s="60">
        <v>2317</v>
      </c>
      <c r="G161" s="32">
        <v>43942</v>
      </c>
      <c r="H161" s="208">
        <v>42309</v>
      </c>
      <c r="I161" s="90">
        <v>0</v>
      </c>
      <c r="J161" s="90">
        <f t="shared" si="4"/>
        <v>43942</v>
      </c>
      <c r="K161" s="90" t="str">
        <f t="shared" si="3"/>
        <v>ATRASADO</v>
      </c>
    </row>
    <row r="162" spans="2:11">
      <c r="B162" s="10">
        <v>42342</v>
      </c>
      <c r="C162" s="16">
        <v>1500016354</v>
      </c>
      <c r="D162" s="13" t="s">
        <v>140</v>
      </c>
      <c r="E162" s="19" t="s">
        <v>104</v>
      </c>
      <c r="F162" s="60">
        <v>2317</v>
      </c>
      <c r="G162" s="32">
        <v>41726</v>
      </c>
      <c r="H162" s="208">
        <v>42342</v>
      </c>
      <c r="I162" s="90">
        <v>0</v>
      </c>
      <c r="J162" s="90">
        <f t="shared" si="4"/>
        <v>41726</v>
      </c>
      <c r="K162" s="90" t="str">
        <f t="shared" si="3"/>
        <v>ATRASADO</v>
      </c>
    </row>
    <row r="163" spans="2:11">
      <c r="B163" s="10">
        <v>42377</v>
      </c>
      <c r="C163" s="16">
        <v>1500016451</v>
      </c>
      <c r="D163" s="13" t="s">
        <v>140</v>
      </c>
      <c r="E163" s="19" t="s">
        <v>104</v>
      </c>
      <c r="F163" s="60">
        <v>2317</v>
      </c>
      <c r="G163" s="32">
        <v>41880</v>
      </c>
      <c r="H163" s="208">
        <v>42377</v>
      </c>
      <c r="I163" s="90">
        <v>0</v>
      </c>
      <c r="J163" s="90">
        <f t="shared" si="4"/>
        <v>41880</v>
      </c>
      <c r="K163" s="90" t="str">
        <f t="shared" si="3"/>
        <v>ATRASADO</v>
      </c>
    </row>
    <row r="164" spans="2:11">
      <c r="B164" s="10">
        <v>43282</v>
      </c>
      <c r="C164" s="16" t="s">
        <v>599</v>
      </c>
      <c r="D164" s="13" t="s">
        <v>140</v>
      </c>
      <c r="E164" s="19" t="s">
        <v>104</v>
      </c>
      <c r="F164" s="60">
        <v>2317</v>
      </c>
      <c r="G164" s="32">
        <v>87658</v>
      </c>
      <c r="H164" s="208">
        <v>43282</v>
      </c>
      <c r="I164" s="90">
        <v>0</v>
      </c>
      <c r="J164" s="90">
        <f t="shared" si="4"/>
        <v>87658</v>
      </c>
      <c r="K164" s="90" t="str">
        <f t="shared" si="3"/>
        <v>ATRASADO</v>
      </c>
    </row>
    <row r="165" spans="2:11">
      <c r="B165" s="10">
        <v>43282</v>
      </c>
      <c r="C165" s="16" t="s">
        <v>600</v>
      </c>
      <c r="D165" s="13" t="s">
        <v>140</v>
      </c>
      <c r="E165" s="19" t="s">
        <v>104</v>
      </c>
      <c r="F165" s="60">
        <v>2317</v>
      </c>
      <c r="G165" s="32">
        <v>77265</v>
      </c>
      <c r="H165" s="208">
        <v>43282</v>
      </c>
      <c r="I165" s="90">
        <v>0</v>
      </c>
      <c r="J165" s="90">
        <f t="shared" si="4"/>
        <v>77265</v>
      </c>
      <c r="K165" s="90" t="str">
        <f t="shared" si="3"/>
        <v>ATRASADO</v>
      </c>
    </row>
    <row r="166" spans="2:11">
      <c r="B166" s="10">
        <v>43287</v>
      </c>
      <c r="C166" s="16" t="s">
        <v>601</v>
      </c>
      <c r="D166" s="13" t="s">
        <v>140</v>
      </c>
      <c r="E166" s="19" t="s">
        <v>104</v>
      </c>
      <c r="F166" s="60">
        <v>2317</v>
      </c>
      <c r="G166" s="32">
        <v>85858</v>
      </c>
      <c r="H166" s="208">
        <v>43287</v>
      </c>
      <c r="I166" s="90">
        <v>0</v>
      </c>
      <c r="J166" s="90">
        <f t="shared" si="4"/>
        <v>85858</v>
      </c>
      <c r="K166" s="90" t="str">
        <f t="shared" si="3"/>
        <v>ATRASADO</v>
      </c>
    </row>
    <row r="167" spans="2:11">
      <c r="B167" s="10">
        <v>43589</v>
      </c>
      <c r="C167" s="16" t="s">
        <v>685</v>
      </c>
      <c r="D167" s="13" t="s">
        <v>140</v>
      </c>
      <c r="E167" s="19" t="s">
        <v>104</v>
      </c>
      <c r="F167" s="60">
        <v>2317</v>
      </c>
      <c r="G167" s="32">
        <v>98522</v>
      </c>
      <c r="H167" s="208">
        <v>43589</v>
      </c>
      <c r="I167" s="90">
        <v>0</v>
      </c>
      <c r="J167" s="90">
        <f t="shared" si="4"/>
        <v>98522</v>
      </c>
      <c r="K167" s="90" t="str">
        <f t="shared" si="3"/>
        <v>ATRASADO</v>
      </c>
    </row>
    <row r="168" spans="2:11">
      <c r="B168" s="10">
        <v>1139410</v>
      </c>
      <c r="C168" s="16" t="s">
        <v>710</v>
      </c>
      <c r="D168" s="13" t="s">
        <v>140</v>
      </c>
      <c r="E168" s="19" t="s">
        <v>104</v>
      </c>
      <c r="F168" s="60">
        <v>2317</v>
      </c>
      <c r="G168" s="32">
        <v>88219</v>
      </c>
      <c r="H168" s="208">
        <v>1139410</v>
      </c>
      <c r="I168" s="90">
        <v>0</v>
      </c>
      <c r="J168" s="90">
        <f t="shared" si="4"/>
        <v>88219</v>
      </c>
      <c r="K168" s="90" t="str">
        <f t="shared" si="3"/>
        <v>ATRASADO</v>
      </c>
    </row>
    <row r="169" spans="2:11">
      <c r="B169" s="10">
        <v>43651</v>
      </c>
      <c r="C169" s="80" t="s">
        <v>709</v>
      </c>
      <c r="D169" s="13" t="s">
        <v>140</v>
      </c>
      <c r="E169" s="19" t="s">
        <v>104</v>
      </c>
      <c r="F169" s="60">
        <v>2317</v>
      </c>
      <c r="G169" s="32">
        <v>97084</v>
      </c>
      <c r="H169" s="208">
        <v>43651</v>
      </c>
      <c r="I169" s="90">
        <v>0</v>
      </c>
      <c r="J169" s="90">
        <f t="shared" si="4"/>
        <v>97084</v>
      </c>
      <c r="K169" s="90" t="str">
        <f t="shared" si="3"/>
        <v>ATRASADO</v>
      </c>
    </row>
    <row r="170" spans="2:11">
      <c r="B170" s="10">
        <v>43683</v>
      </c>
      <c r="C170" s="80" t="s">
        <v>728</v>
      </c>
      <c r="D170" s="13" t="s">
        <v>140</v>
      </c>
      <c r="E170" s="19" t="s">
        <v>104</v>
      </c>
      <c r="F170" s="60">
        <v>2317</v>
      </c>
      <c r="G170" s="32">
        <v>86175</v>
      </c>
      <c r="H170" s="208">
        <v>43683</v>
      </c>
      <c r="I170" s="90">
        <v>0</v>
      </c>
      <c r="J170" s="90">
        <f t="shared" si="4"/>
        <v>86175</v>
      </c>
      <c r="K170" s="90" t="str">
        <f t="shared" si="3"/>
        <v>ATRASADO</v>
      </c>
    </row>
    <row r="171" spans="2:11">
      <c r="B171" s="10">
        <v>43744</v>
      </c>
      <c r="C171" s="80" t="s">
        <v>729</v>
      </c>
      <c r="D171" s="13" t="s">
        <v>140</v>
      </c>
      <c r="E171" s="19" t="s">
        <v>104</v>
      </c>
      <c r="F171" s="60">
        <v>2317</v>
      </c>
      <c r="G171" s="32">
        <v>99701</v>
      </c>
      <c r="H171" s="208">
        <v>43744</v>
      </c>
      <c r="I171" s="90">
        <v>0</v>
      </c>
      <c r="J171" s="90">
        <f t="shared" si="4"/>
        <v>99701</v>
      </c>
      <c r="K171" s="90" t="str">
        <f t="shared" ref="K171:K234" si="5">IF(J171&gt;0,"ATRASADO","")</f>
        <v>ATRASADO</v>
      </c>
    </row>
    <row r="172" spans="2:11">
      <c r="B172" s="10">
        <v>43714</v>
      </c>
      <c r="C172" s="80" t="s">
        <v>727</v>
      </c>
      <c r="D172" s="13" t="s">
        <v>140</v>
      </c>
      <c r="E172" s="19" t="s">
        <v>104</v>
      </c>
      <c r="F172" s="60">
        <v>2317</v>
      </c>
      <c r="G172" s="32">
        <v>103860</v>
      </c>
      <c r="H172" s="208">
        <v>43683</v>
      </c>
      <c r="I172" s="90">
        <v>0</v>
      </c>
      <c r="J172" s="90">
        <f t="shared" si="4"/>
        <v>103860</v>
      </c>
      <c r="K172" s="90" t="str">
        <f t="shared" si="5"/>
        <v>ATRASADO</v>
      </c>
    </row>
    <row r="173" spans="2:11">
      <c r="B173" s="10"/>
      <c r="C173" s="17"/>
      <c r="D173" s="13"/>
      <c r="E173" s="19"/>
      <c r="F173" s="60"/>
      <c r="G173" s="32"/>
      <c r="H173" s="208"/>
      <c r="I173" s="90"/>
      <c r="J173" s="90" t="str">
        <f t="shared" si="4"/>
        <v/>
      </c>
      <c r="K173" s="90"/>
    </row>
    <row r="174" spans="2:11" ht="24.75">
      <c r="B174" s="10">
        <v>44354</v>
      </c>
      <c r="C174" s="80" t="s">
        <v>1463</v>
      </c>
      <c r="D174" s="13" t="s">
        <v>1464</v>
      </c>
      <c r="E174" s="19" t="s">
        <v>1394</v>
      </c>
      <c r="F174" s="60">
        <v>2287</v>
      </c>
      <c r="G174" s="32">
        <v>125729</v>
      </c>
      <c r="H174" s="208">
        <v>44354</v>
      </c>
      <c r="I174" s="90">
        <v>0</v>
      </c>
      <c r="J174" s="90">
        <f t="shared" si="4"/>
        <v>125729</v>
      </c>
      <c r="K174" s="90" t="str">
        <f t="shared" si="5"/>
        <v>ATRASADO</v>
      </c>
    </row>
    <row r="175" spans="2:11">
      <c r="B175" s="10"/>
      <c r="C175" s="17"/>
      <c r="D175" s="13"/>
      <c r="E175" s="19"/>
      <c r="F175" s="60"/>
      <c r="G175" s="32"/>
      <c r="H175" s="208"/>
      <c r="I175" s="90"/>
      <c r="J175" s="90" t="str">
        <f t="shared" si="4"/>
        <v/>
      </c>
      <c r="K175" s="90"/>
    </row>
    <row r="176" spans="2:11" ht="24.75">
      <c r="B176" s="10">
        <v>41433</v>
      </c>
      <c r="C176" s="16">
        <v>102631268</v>
      </c>
      <c r="D176" s="13" t="s">
        <v>103</v>
      </c>
      <c r="E176" s="19" t="s">
        <v>104</v>
      </c>
      <c r="F176" s="60">
        <v>2217</v>
      </c>
      <c r="G176" s="32">
        <v>1194</v>
      </c>
      <c r="H176" s="208">
        <v>41433</v>
      </c>
      <c r="I176" s="90">
        <v>0</v>
      </c>
      <c r="J176" s="90">
        <f t="shared" si="4"/>
        <v>1194</v>
      </c>
      <c r="K176" s="90" t="str">
        <f t="shared" si="5"/>
        <v>ATRASADO</v>
      </c>
    </row>
    <row r="177" spans="2:11" ht="24.75">
      <c r="B177" s="10">
        <v>42243</v>
      </c>
      <c r="C177" s="17">
        <v>104372721</v>
      </c>
      <c r="D177" s="13" t="s">
        <v>103</v>
      </c>
      <c r="E177" s="19" t="s">
        <v>104</v>
      </c>
      <c r="F177" s="60">
        <v>2217</v>
      </c>
      <c r="G177" s="32">
        <v>5187</v>
      </c>
      <c r="H177" s="208">
        <v>42243</v>
      </c>
      <c r="I177" s="90">
        <v>0</v>
      </c>
      <c r="J177" s="90">
        <f t="shared" si="4"/>
        <v>5187</v>
      </c>
      <c r="K177" s="90" t="str">
        <f t="shared" si="5"/>
        <v>ATRASADO</v>
      </c>
    </row>
    <row r="178" spans="2:11" ht="24.75">
      <c r="B178" s="10">
        <v>41922</v>
      </c>
      <c r="C178" s="16">
        <v>150010739</v>
      </c>
      <c r="D178" s="13" t="s">
        <v>103</v>
      </c>
      <c r="E178" s="19" t="s">
        <v>104</v>
      </c>
      <c r="F178" s="60">
        <v>2217</v>
      </c>
      <c r="G178" s="32">
        <v>288</v>
      </c>
      <c r="H178" s="208">
        <v>41922</v>
      </c>
      <c r="I178" s="90">
        <v>0</v>
      </c>
      <c r="J178" s="90">
        <f t="shared" si="4"/>
        <v>288</v>
      </c>
      <c r="K178" s="90" t="str">
        <f t="shared" si="5"/>
        <v>ATRASADO</v>
      </c>
    </row>
    <row r="179" spans="2:11" ht="24.75">
      <c r="B179" s="10">
        <v>42055</v>
      </c>
      <c r="C179" s="17">
        <v>150066661</v>
      </c>
      <c r="D179" s="13" t="s">
        <v>103</v>
      </c>
      <c r="E179" s="19" t="s">
        <v>104</v>
      </c>
      <c r="F179" s="60">
        <v>2217</v>
      </c>
      <c r="G179" s="32">
        <v>1500</v>
      </c>
      <c r="H179" s="208">
        <v>42055</v>
      </c>
      <c r="I179" s="90">
        <v>0</v>
      </c>
      <c r="J179" s="90">
        <f t="shared" si="4"/>
        <v>1500</v>
      </c>
      <c r="K179" s="90" t="str">
        <f t="shared" si="5"/>
        <v>ATRASADO</v>
      </c>
    </row>
    <row r="180" spans="2:11" ht="24.75">
      <c r="B180" s="10">
        <v>41455</v>
      </c>
      <c r="C180" s="16">
        <v>150082302</v>
      </c>
      <c r="D180" s="13" t="s">
        <v>103</v>
      </c>
      <c r="E180" s="19" t="s">
        <v>104</v>
      </c>
      <c r="F180" s="60">
        <v>2217</v>
      </c>
      <c r="G180" s="32">
        <v>720</v>
      </c>
      <c r="H180" s="208">
        <v>41455</v>
      </c>
      <c r="I180" s="90">
        <v>0</v>
      </c>
      <c r="J180" s="90">
        <f t="shared" si="4"/>
        <v>720</v>
      </c>
      <c r="K180" s="90" t="str">
        <f t="shared" si="5"/>
        <v>ATRASADO</v>
      </c>
    </row>
    <row r="181" spans="2:11" ht="24.75">
      <c r="B181" s="10">
        <v>41455</v>
      </c>
      <c r="C181" s="16">
        <v>150082463</v>
      </c>
      <c r="D181" s="13" t="s">
        <v>103</v>
      </c>
      <c r="E181" s="19" t="s">
        <v>104</v>
      </c>
      <c r="F181" s="60">
        <v>2217</v>
      </c>
      <c r="G181" s="32">
        <v>12840</v>
      </c>
      <c r="H181" s="208">
        <v>41455</v>
      </c>
      <c r="I181" s="90">
        <v>0</v>
      </c>
      <c r="J181" s="90">
        <f t="shared" si="4"/>
        <v>12840</v>
      </c>
      <c r="K181" s="90" t="str">
        <f t="shared" si="5"/>
        <v>ATRASADO</v>
      </c>
    </row>
    <row r="182" spans="2:11" ht="24.75">
      <c r="B182" s="10">
        <v>41455</v>
      </c>
      <c r="C182" s="16">
        <v>150082477</v>
      </c>
      <c r="D182" s="13" t="s">
        <v>103</v>
      </c>
      <c r="E182" s="19" t="s">
        <v>104</v>
      </c>
      <c r="F182" s="60">
        <v>2217</v>
      </c>
      <c r="G182" s="32">
        <v>288</v>
      </c>
      <c r="H182" s="208">
        <v>41455</v>
      </c>
      <c r="I182" s="90">
        <v>0</v>
      </c>
      <c r="J182" s="90">
        <f t="shared" si="4"/>
        <v>288</v>
      </c>
      <c r="K182" s="90" t="str">
        <f t="shared" si="5"/>
        <v>ATRASADO</v>
      </c>
    </row>
    <row r="183" spans="2:11" ht="24.75">
      <c r="B183" s="10">
        <v>41455</v>
      </c>
      <c r="C183" s="16">
        <v>150082526</v>
      </c>
      <c r="D183" s="13" t="s">
        <v>103</v>
      </c>
      <c r="E183" s="19" t="s">
        <v>104</v>
      </c>
      <c r="F183" s="60">
        <v>2217</v>
      </c>
      <c r="G183" s="32">
        <v>1500</v>
      </c>
      <c r="H183" s="208">
        <v>41455</v>
      </c>
      <c r="I183" s="90">
        <v>0</v>
      </c>
      <c r="J183" s="90">
        <f t="shared" si="4"/>
        <v>1500</v>
      </c>
      <c r="K183" s="90" t="str">
        <f t="shared" si="5"/>
        <v>ATRASADO</v>
      </c>
    </row>
    <row r="184" spans="2:11" ht="24.75">
      <c r="B184" s="10">
        <v>41440</v>
      </c>
      <c r="C184" s="16">
        <v>1500068313</v>
      </c>
      <c r="D184" s="13" t="s">
        <v>103</v>
      </c>
      <c r="E184" s="19" t="s">
        <v>104</v>
      </c>
      <c r="F184" s="60">
        <v>2217</v>
      </c>
      <c r="G184" s="32">
        <v>720</v>
      </c>
      <c r="H184" s="208">
        <v>41440</v>
      </c>
      <c r="I184" s="90">
        <v>0</v>
      </c>
      <c r="J184" s="90">
        <f t="shared" si="4"/>
        <v>720</v>
      </c>
      <c r="K184" s="90" t="str">
        <f t="shared" si="5"/>
        <v>ATRASADO</v>
      </c>
    </row>
    <row r="185" spans="2:11" ht="24.75">
      <c r="B185" s="10">
        <v>41737</v>
      </c>
      <c r="C185" s="16">
        <v>1500093756</v>
      </c>
      <c r="D185" s="13" t="s">
        <v>103</v>
      </c>
      <c r="E185" s="19" t="s">
        <v>104</v>
      </c>
      <c r="F185" s="60">
        <v>2217</v>
      </c>
      <c r="G185" s="32">
        <v>1524</v>
      </c>
      <c r="H185" s="208">
        <v>41737</v>
      </c>
      <c r="I185" s="90">
        <v>0</v>
      </c>
      <c r="J185" s="90">
        <f t="shared" si="4"/>
        <v>1524</v>
      </c>
      <c r="K185" s="90" t="str">
        <f t="shared" si="5"/>
        <v>ATRASADO</v>
      </c>
    </row>
    <row r="186" spans="2:11" ht="24.75">
      <c r="B186" s="10">
        <v>41744</v>
      </c>
      <c r="C186" s="16">
        <v>1500094317</v>
      </c>
      <c r="D186" s="13" t="s">
        <v>103</v>
      </c>
      <c r="E186" s="19" t="s">
        <v>104</v>
      </c>
      <c r="F186" s="60">
        <v>2217</v>
      </c>
      <c r="G186" s="32">
        <v>720</v>
      </c>
      <c r="H186" s="208">
        <v>41744</v>
      </c>
      <c r="I186" s="90">
        <v>0</v>
      </c>
      <c r="J186" s="90">
        <f t="shared" si="4"/>
        <v>720</v>
      </c>
      <c r="K186" s="90" t="str">
        <f t="shared" si="5"/>
        <v>ATRASADO</v>
      </c>
    </row>
    <row r="187" spans="2:11" ht="24.75">
      <c r="B187" s="10">
        <v>41750</v>
      </c>
      <c r="C187" s="16">
        <v>1500094503</v>
      </c>
      <c r="D187" s="13" t="s">
        <v>103</v>
      </c>
      <c r="E187" s="19" t="s">
        <v>104</v>
      </c>
      <c r="F187" s="60">
        <v>2217</v>
      </c>
      <c r="G187" s="32">
        <v>288</v>
      </c>
      <c r="H187" s="208">
        <v>41750</v>
      </c>
      <c r="I187" s="90">
        <v>0</v>
      </c>
      <c r="J187" s="90">
        <f t="shared" si="4"/>
        <v>288</v>
      </c>
      <c r="K187" s="90" t="str">
        <f t="shared" si="5"/>
        <v>ATRASADO</v>
      </c>
    </row>
    <row r="188" spans="2:11" ht="24.75">
      <c r="B188" s="10">
        <v>41750</v>
      </c>
      <c r="C188" s="16">
        <v>1500094522</v>
      </c>
      <c r="D188" s="13" t="s">
        <v>103</v>
      </c>
      <c r="E188" s="19" t="s">
        <v>104</v>
      </c>
      <c r="F188" s="60">
        <v>2217</v>
      </c>
      <c r="G188" s="32">
        <v>12840</v>
      </c>
      <c r="H188" s="208">
        <v>41750</v>
      </c>
      <c r="I188" s="90">
        <v>0</v>
      </c>
      <c r="J188" s="90">
        <f t="shared" si="4"/>
        <v>12840</v>
      </c>
      <c r="K188" s="90" t="str">
        <f t="shared" si="5"/>
        <v>ATRASADO</v>
      </c>
    </row>
    <row r="189" spans="2:11" ht="24.75">
      <c r="B189" s="10">
        <v>42104</v>
      </c>
      <c r="C189" s="17">
        <v>1500108307</v>
      </c>
      <c r="D189" s="13" t="s">
        <v>103</v>
      </c>
      <c r="E189" s="19" t="s">
        <v>104</v>
      </c>
      <c r="F189" s="60">
        <v>2217</v>
      </c>
      <c r="G189" s="32">
        <v>1689</v>
      </c>
      <c r="H189" s="208">
        <v>42104</v>
      </c>
      <c r="I189" s="90">
        <v>0</v>
      </c>
      <c r="J189" s="90">
        <f t="shared" si="4"/>
        <v>1689</v>
      </c>
      <c r="K189" s="90" t="str">
        <f t="shared" si="5"/>
        <v>ATRASADO</v>
      </c>
    </row>
    <row r="190" spans="2:11" ht="24.75">
      <c r="B190" s="10">
        <v>42114</v>
      </c>
      <c r="C190" s="17">
        <v>1500108944</v>
      </c>
      <c r="D190" s="13" t="s">
        <v>103</v>
      </c>
      <c r="E190" s="19" t="s">
        <v>104</v>
      </c>
      <c r="F190" s="60">
        <v>2217</v>
      </c>
      <c r="G190" s="32">
        <v>720</v>
      </c>
      <c r="H190" s="208">
        <v>42114</v>
      </c>
      <c r="I190" s="90">
        <v>0</v>
      </c>
      <c r="J190" s="90">
        <f t="shared" si="4"/>
        <v>720</v>
      </c>
      <c r="K190" s="90" t="str">
        <f t="shared" si="5"/>
        <v>ATRASADO</v>
      </c>
    </row>
    <row r="191" spans="2:11" ht="24.75">
      <c r="B191" s="10">
        <v>42116</v>
      </c>
      <c r="C191" s="17">
        <v>1500109065</v>
      </c>
      <c r="D191" s="13" t="s">
        <v>103</v>
      </c>
      <c r="E191" s="19" t="s">
        <v>104</v>
      </c>
      <c r="F191" s="60">
        <v>2217</v>
      </c>
      <c r="G191" s="32">
        <v>12840</v>
      </c>
      <c r="H191" s="208">
        <v>42116</v>
      </c>
      <c r="I191" s="90">
        <v>0</v>
      </c>
      <c r="J191" s="90">
        <f t="shared" si="4"/>
        <v>12840</v>
      </c>
      <c r="K191" s="90" t="str">
        <f t="shared" si="5"/>
        <v>ATRASADO</v>
      </c>
    </row>
    <row r="192" spans="2:11" ht="24.75">
      <c r="B192" s="10">
        <v>42116</v>
      </c>
      <c r="C192" s="17">
        <v>1500109082</v>
      </c>
      <c r="D192" s="13" t="s">
        <v>103</v>
      </c>
      <c r="E192" s="19" t="s">
        <v>104</v>
      </c>
      <c r="F192" s="60">
        <v>2217</v>
      </c>
      <c r="G192" s="32">
        <v>288</v>
      </c>
      <c r="H192" s="208">
        <v>42116</v>
      </c>
      <c r="I192" s="90">
        <v>0</v>
      </c>
      <c r="J192" s="90">
        <f t="shared" si="4"/>
        <v>288</v>
      </c>
      <c r="K192" s="90" t="str">
        <f t="shared" si="5"/>
        <v>ATRASADO</v>
      </c>
    </row>
    <row r="193" spans="2:11" ht="24.75">
      <c r="B193" s="10">
        <v>42117</v>
      </c>
      <c r="C193" s="17">
        <v>1500109124</v>
      </c>
      <c r="D193" s="13" t="s">
        <v>103</v>
      </c>
      <c r="E193" s="19" t="s">
        <v>104</v>
      </c>
      <c r="F193" s="60">
        <v>2217</v>
      </c>
      <c r="G193" s="32">
        <v>1500</v>
      </c>
      <c r="H193" s="208">
        <v>42117</v>
      </c>
      <c r="I193" s="90">
        <v>0</v>
      </c>
      <c r="J193" s="90">
        <f t="shared" si="4"/>
        <v>1500</v>
      </c>
      <c r="K193" s="90" t="str">
        <f t="shared" si="5"/>
        <v>ATRASADO</v>
      </c>
    </row>
    <row r="194" spans="2:11" ht="24.75">
      <c r="B194" s="10">
        <v>42135</v>
      </c>
      <c r="C194" s="17">
        <v>1500109502</v>
      </c>
      <c r="D194" s="13" t="s">
        <v>103</v>
      </c>
      <c r="E194" s="19" t="s">
        <v>104</v>
      </c>
      <c r="F194" s="60">
        <v>2217</v>
      </c>
      <c r="G194" s="32">
        <v>1719</v>
      </c>
      <c r="H194" s="208">
        <v>42135</v>
      </c>
      <c r="I194" s="90">
        <v>0</v>
      </c>
      <c r="J194" s="90">
        <f t="shared" si="4"/>
        <v>1719</v>
      </c>
      <c r="K194" s="90" t="str">
        <f t="shared" si="5"/>
        <v>ATRASADO</v>
      </c>
    </row>
    <row r="195" spans="2:11" ht="24.75">
      <c r="B195" s="10">
        <v>42143</v>
      </c>
      <c r="C195" s="17">
        <v>1500110201</v>
      </c>
      <c r="D195" s="13" t="s">
        <v>103</v>
      </c>
      <c r="E195" s="19" t="s">
        <v>104</v>
      </c>
      <c r="F195" s="60">
        <v>2217</v>
      </c>
      <c r="G195" s="32">
        <v>720</v>
      </c>
      <c r="H195" s="208">
        <v>42143</v>
      </c>
      <c r="I195" s="90">
        <v>0</v>
      </c>
      <c r="J195" s="90">
        <f t="shared" si="4"/>
        <v>720</v>
      </c>
      <c r="K195" s="90" t="str">
        <f t="shared" si="5"/>
        <v>ATRASADO</v>
      </c>
    </row>
    <row r="196" spans="2:11" ht="24.75">
      <c r="B196" s="10">
        <v>42145</v>
      </c>
      <c r="C196" s="17">
        <v>1500110291</v>
      </c>
      <c r="D196" s="13" t="s">
        <v>103</v>
      </c>
      <c r="E196" s="19" t="s">
        <v>104</v>
      </c>
      <c r="F196" s="60">
        <v>2217</v>
      </c>
      <c r="G196" s="32">
        <v>12840</v>
      </c>
      <c r="H196" s="208">
        <v>42145</v>
      </c>
      <c r="I196" s="90">
        <v>0</v>
      </c>
      <c r="J196" s="90">
        <f t="shared" si="4"/>
        <v>12840</v>
      </c>
      <c r="K196" s="90" t="str">
        <f t="shared" si="5"/>
        <v>ATRASADO</v>
      </c>
    </row>
    <row r="197" spans="2:11" ht="24.75">
      <c r="B197" s="10">
        <v>42145</v>
      </c>
      <c r="C197" s="17">
        <v>1500110308</v>
      </c>
      <c r="D197" s="13" t="s">
        <v>103</v>
      </c>
      <c r="E197" s="19" t="s">
        <v>104</v>
      </c>
      <c r="F197" s="60">
        <v>2217</v>
      </c>
      <c r="G197" s="32">
        <v>288</v>
      </c>
      <c r="H197" s="208">
        <v>42145</v>
      </c>
      <c r="I197" s="90">
        <v>0</v>
      </c>
      <c r="J197" s="90">
        <f t="shared" si="4"/>
        <v>288</v>
      </c>
      <c r="K197" s="90" t="str">
        <f t="shared" si="5"/>
        <v>ATRASADO</v>
      </c>
    </row>
    <row r="198" spans="2:11" ht="24.75">
      <c r="B198" s="10">
        <v>42146</v>
      </c>
      <c r="C198" s="17">
        <v>1500110350</v>
      </c>
      <c r="D198" s="13" t="s">
        <v>103</v>
      </c>
      <c r="E198" s="19" t="s">
        <v>104</v>
      </c>
      <c r="F198" s="60">
        <v>2217</v>
      </c>
      <c r="G198" s="32">
        <v>1500</v>
      </c>
      <c r="H198" s="208">
        <v>42146</v>
      </c>
      <c r="I198" s="90">
        <v>0</v>
      </c>
      <c r="J198" s="90">
        <f t="shared" si="4"/>
        <v>1500</v>
      </c>
      <c r="K198" s="90" t="str">
        <f t="shared" si="5"/>
        <v>ATRASADO</v>
      </c>
    </row>
    <row r="199" spans="2:11" ht="24.75">
      <c r="B199" s="10">
        <v>42286</v>
      </c>
      <c r="C199" s="17">
        <v>1500115687</v>
      </c>
      <c r="D199" s="13" t="s">
        <v>103</v>
      </c>
      <c r="E199" s="19" t="s">
        <v>104</v>
      </c>
      <c r="F199" s="60">
        <v>2217</v>
      </c>
      <c r="G199" s="32">
        <v>426</v>
      </c>
      <c r="H199" s="208">
        <v>42286</v>
      </c>
      <c r="I199" s="90">
        <v>0</v>
      </c>
      <c r="J199" s="90">
        <f t="shared" si="4"/>
        <v>426</v>
      </c>
      <c r="K199" s="90" t="str">
        <f t="shared" si="5"/>
        <v>ATRASADO</v>
      </c>
    </row>
    <row r="200" spans="2:11" ht="24.75">
      <c r="B200" s="10">
        <v>42296</v>
      </c>
      <c r="C200" s="17">
        <v>1500116317</v>
      </c>
      <c r="D200" s="13" t="s">
        <v>103</v>
      </c>
      <c r="E200" s="19" t="s">
        <v>104</v>
      </c>
      <c r="F200" s="60">
        <v>2217</v>
      </c>
      <c r="G200" s="32">
        <v>720</v>
      </c>
      <c r="H200" s="208">
        <v>42296</v>
      </c>
      <c r="I200" s="90">
        <v>0</v>
      </c>
      <c r="J200" s="90">
        <f t="shared" si="4"/>
        <v>720</v>
      </c>
      <c r="K200" s="90" t="str">
        <f t="shared" si="5"/>
        <v>ATRASADO</v>
      </c>
    </row>
    <row r="201" spans="2:11" ht="24.75">
      <c r="B201" s="10">
        <v>42298</v>
      </c>
      <c r="C201" s="17">
        <v>1500116452</v>
      </c>
      <c r="D201" s="13" t="s">
        <v>103</v>
      </c>
      <c r="E201" s="19" t="s">
        <v>104</v>
      </c>
      <c r="F201" s="60">
        <v>2217</v>
      </c>
      <c r="G201" s="32">
        <v>12840</v>
      </c>
      <c r="H201" s="208">
        <v>42298</v>
      </c>
      <c r="I201" s="90">
        <v>0</v>
      </c>
      <c r="J201" s="90">
        <f t="shared" si="4"/>
        <v>12840</v>
      </c>
      <c r="K201" s="90" t="str">
        <f t="shared" si="5"/>
        <v>ATRASADO</v>
      </c>
    </row>
    <row r="202" spans="2:11" ht="24.75">
      <c r="B202" s="10">
        <v>42298</v>
      </c>
      <c r="C202" s="17">
        <v>1500116469</v>
      </c>
      <c r="D202" s="13" t="s">
        <v>103</v>
      </c>
      <c r="E202" s="19" t="s">
        <v>104</v>
      </c>
      <c r="F202" s="60">
        <v>2217</v>
      </c>
      <c r="G202" s="32">
        <v>288</v>
      </c>
      <c r="H202" s="208">
        <v>42298</v>
      </c>
      <c r="I202" s="90">
        <v>0</v>
      </c>
      <c r="J202" s="90">
        <f t="shared" si="4"/>
        <v>288</v>
      </c>
      <c r="K202" s="90" t="str">
        <f t="shared" si="5"/>
        <v>ATRASADO</v>
      </c>
    </row>
    <row r="203" spans="2:11" ht="24.75">
      <c r="B203" s="10">
        <v>42299</v>
      </c>
      <c r="C203" s="17">
        <v>1500116511</v>
      </c>
      <c r="D203" s="13" t="s">
        <v>103</v>
      </c>
      <c r="E203" s="19" t="s">
        <v>104</v>
      </c>
      <c r="F203" s="60">
        <v>2217</v>
      </c>
      <c r="G203" s="32">
        <v>1500</v>
      </c>
      <c r="H203" s="208">
        <v>42299</v>
      </c>
      <c r="I203" s="90">
        <v>0</v>
      </c>
      <c r="J203" s="90">
        <f t="shared" si="4"/>
        <v>1500</v>
      </c>
      <c r="K203" s="90" t="str">
        <f t="shared" si="5"/>
        <v>ATRASADO</v>
      </c>
    </row>
    <row r="204" spans="2:11" ht="24.75">
      <c r="B204" s="10">
        <v>42305</v>
      </c>
      <c r="C204" s="17">
        <v>1500116604</v>
      </c>
      <c r="D204" s="13" t="s">
        <v>103</v>
      </c>
      <c r="E204" s="19" t="s">
        <v>104</v>
      </c>
      <c r="F204" s="60">
        <v>2217</v>
      </c>
      <c r="G204" s="32">
        <v>291</v>
      </c>
      <c r="H204" s="208">
        <v>42305</v>
      </c>
      <c r="I204" s="90">
        <v>0</v>
      </c>
      <c r="J204" s="90">
        <f t="shared" si="4"/>
        <v>291</v>
      </c>
      <c r="K204" s="90" t="str">
        <f t="shared" si="5"/>
        <v>ATRASADO</v>
      </c>
    </row>
    <row r="205" spans="2:11" ht="24.75">
      <c r="B205" s="10">
        <v>42500</v>
      </c>
      <c r="C205" s="17">
        <v>1500124374</v>
      </c>
      <c r="D205" s="13" t="s">
        <v>103</v>
      </c>
      <c r="E205" s="19" t="s">
        <v>104</v>
      </c>
      <c r="F205" s="60">
        <v>2217</v>
      </c>
      <c r="G205" s="32">
        <v>1789</v>
      </c>
      <c r="H205" s="208">
        <v>42500</v>
      </c>
      <c r="I205" s="90">
        <v>0</v>
      </c>
      <c r="J205" s="90">
        <f t="shared" si="4"/>
        <v>1789</v>
      </c>
      <c r="K205" s="90" t="str">
        <f t="shared" si="5"/>
        <v>ATRASADO</v>
      </c>
    </row>
    <row r="206" spans="2:11" ht="24.75">
      <c r="B206" s="10">
        <v>42508</v>
      </c>
      <c r="C206" s="17">
        <v>1500125006</v>
      </c>
      <c r="D206" s="13" t="s">
        <v>103</v>
      </c>
      <c r="E206" s="19" t="s">
        <v>104</v>
      </c>
      <c r="F206" s="60">
        <v>2217</v>
      </c>
      <c r="G206" s="32">
        <v>720</v>
      </c>
      <c r="H206" s="208">
        <v>42508</v>
      </c>
      <c r="I206" s="90">
        <v>0</v>
      </c>
      <c r="J206" s="90">
        <f t="shared" si="4"/>
        <v>720</v>
      </c>
      <c r="K206" s="90" t="str">
        <f t="shared" si="5"/>
        <v>ATRASADO</v>
      </c>
    </row>
    <row r="207" spans="2:11" ht="24.75">
      <c r="B207" s="10">
        <v>42510</v>
      </c>
      <c r="C207" s="17">
        <v>1500125143</v>
      </c>
      <c r="D207" s="13" t="s">
        <v>103</v>
      </c>
      <c r="E207" s="19" t="s">
        <v>104</v>
      </c>
      <c r="F207" s="60">
        <v>2217</v>
      </c>
      <c r="G207" s="32">
        <v>12840</v>
      </c>
      <c r="H207" s="208">
        <v>42510</v>
      </c>
      <c r="I207" s="90">
        <v>0</v>
      </c>
      <c r="J207" s="90">
        <f t="shared" si="4"/>
        <v>12840</v>
      </c>
      <c r="K207" s="90" t="str">
        <f t="shared" si="5"/>
        <v>ATRASADO</v>
      </c>
    </row>
    <row r="208" spans="2:11" ht="24.75">
      <c r="B208" s="10">
        <v>42510</v>
      </c>
      <c r="C208" s="17">
        <v>1500125160</v>
      </c>
      <c r="D208" s="13" t="s">
        <v>103</v>
      </c>
      <c r="E208" s="19" t="s">
        <v>104</v>
      </c>
      <c r="F208" s="60">
        <v>2217</v>
      </c>
      <c r="G208" s="32">
        <v>288</v>
      </c>
      <c r="H208" s="208">
        <v>42510</v>
      </c>
      <c r="I208" s="90">
        <v>0</v>
      </c>
      <c r="J208" s="90">
        <f t="shared" ref="J208:J271" si="6">IF(G208&gt;0,G208,"")</f>
        <v>288</v>
      </c>
      <c r="K208" s="90" t="str">
        <f t="shared" si="5"/>
        <v>ATRASADO</v>
      </c>
    </row>
    <row r="209" spans="2:11" ht="24.75">
      <c r="B209" s="10">
        <v>42513</v>
      </c>
      <c r="C209" s="17">
        <v>1500125202</v>
      </c>
      <c r="D209" s="13" t="s">
        <v>103</v>
      </c>
      <c r="E209" s="19" t="s">
        <v>104</v>
      </c>
      <c r="F209" s="60">
        <v>2217</v>
      </c>
      <c r="G209" s="32">
        <v>1500</v>
      </c>
      <c r="H209" s="208">
        <v>42513</v>
      </c>
      <c r="I209" s="90">
        <v>0</v>
      </c>
      <c r="J209" s="90">
        <f t="shared" si="6"/>
        <v>1500</v>
      </c>
      <c r="K209" s="90" t="str">
        <f t="shared" si="5"/>
        <v>ATRASADO</v>
      </c>
    </row>
    <row r="210" spans="2:11" ht="24.75">
      <c r="B210" s="10">
        <v>42517</v>
      </c>
      <c r="C210" s="17">
        <v>1500125295</v>
      </c>
      <c r="D210" s="13" t="s">
        <v>103</v>
      </c>
      <c r="E210" s="19" t="s">
        <v>104</v>
      </c>
      <c r="F210" s="60">
        <v>2217</v>
      </c>
      <c r="G210" s="32">
        <v>315</v>
      </c>
      <c r="H210" s="208">
        <v>42517</v>
      </c>
      <c r="I210" s="90">
        <v>0</v>
      </c>
      <c r="J210" s="90">
        <f t="shared" si="6"/>
        <v>315</v>
      </c>
      <c r="K210" s="90" t="str">
        <f t="shared" si="5"/>
        <v>ATRASADO</v>
      </c>
    </row>
    <row r="211" spans="2:11" ht="24.75">
      <c r="B211" s="10">
        <v>42530</v>
      </c>
      <c r="C211" s="17">
        <v>1500125617</v>
      </c>
      <c r="D211" s="13" t="s">
        <v>103</v>
      </c>
      <c r="E211" s="19" t="s">
        <v>104</v>
      </c>
      <c r="F211" s="60">
        <v>2217</v>
      </c>
      <c r="G211" s="32">
        <v>1804</v>
      </c>
      <c r="H211" s="208">
        <v>42530</v>
      </c>
      <c r="I211" s="90">
        <v>0</v>
      </c>
      <c r="J211" s="90">
        <f t="shared" si="6"/>
        <v>1804</v>
      </c>
      <c r="K211" s="90" t="str">
        <f t="shared" si="5"/>
        <v>ATRASADO</v>
      </c>
    </row>
    <row r="212" spans="2:11" ht="24.75">
      <c r="B212" s="10">
        <v>42541</v>
      </c>
      <c r="C212" s="17">
        <v>1500126248</v>
      </c>
      <c r="D212" s="13" t="s">
        <v>103</v>
      </c>
      <c r="E212" s="19" t="s">
        <v>104</v>
      </c>
      <c r="F212" s="60">
        <v>2217</v>
      </c>
      <c r="G212" s="32">
        <v>720</v>
      </c>
      <c r="H212" s="208">
        <v>42541</v>
      </c>
      <c r="I212" s="90">
        <v>0</v>
      </c>
      <c r="J212" s="90">
        <f t="shared" si="6"/>
        <v>720</v>
      </c>
      <c r="K212" s="90" t="str">
        <f t="shared" si="5"/>
        <v>ATRASADO</v>
      </c>
    </row>
    <row r="213" spans="2:11" ht="24.75">
      <c r="B213" s="10">
        <v>42543</v>
      </c>
      <c r="C213" s="17">
        <v>1500126385</v>
      </c>
      <c r="D213" s="13" t="s">
        <v>103</v>
      </c>
      <c r="E213" s="19" t="s">
        <v>104</v>
      </c>
      <c r="F213" s="60">
        <v>2217</v>
      </c>
      <c r="G213" s="32">
        <v>12840</v>
      </c>
      <c r="H213" s="208">
        <v>42543</v>
      </c>
      <c r="I213" s="90">
        <v>0</v>
      </c>
      <c r="J213" s="90">
        <f t="shared" si="6"/>
        <v>12840</v>
      </c>
      <c r="K213" s="90" t="str">
        <f t="shared" si="5"/>
        <v>ATRASADO</v>
      </c>
    </row>
    <row r="214" spans="2:11" ht="24.75">
      <c r="B214" s="10">
        <v>42543</v>
      </c>
      <c r="C214" s="17">
        <v>1500126402</v>
      </c>
      <c r="D214" s="13" t="s">
        <v>103</v>
      </c>
      <c r="E214" s="19" t="s">
        <v>104</v>
      </c>
      <c r="F214" s="60">
        <v>2217</v>
      </c>
      <c r="G214" s="32">
        <v>288</v>
      </c>
      <c r="H214" s="208">
        <v>42543</v>
      </c>
      <c r="I214" s="90">
        <v>0</v>
      </c>
      <c r="J214" s="90">
        <f t="shared" si="6"/>
        <v>288</v>
      </c>
      <c r="K214" s="90" t="str">
        <f t="shared" si="5"/>
        <v>ATRASADO</v>
      </c>
    </row>
    <row r="215" spans="2:11" ht="24.75">
      <c r="B215" s="10">
        <v>42544</v>
      </c>
      <c r="C215" s="17">
        <v>1500126444</v>
      </c>
      <c r="D215" s="13" t="s">
        <v>103</v>
      </c>
      <c r="E215" s="19" t="s">
        <v>104</v>
      </c>
      <c r="F215" s="60">
        <v>2217</v>
      </c>
      <c r="G215" s="32">
        <v>1500</v>
      </c>
      <c r="H215" s="208">
        <v>42544</v>
      </c>
      <c r="I215" s="90">
        <v>0</v>
      </c>
      <c r="J215" s="90">
        <f t="shared" si="6"/>
        <v>1500</v>
      </c>
      <c r="K215" s="90" t="str">
        <f t="shared" si="5"/>
        <v>ATRASADO</v>
      </c>
    </row>
    <row r="216" spans="2:11" ht="24.75">
      <c r="B216" s="10">
        <v>42549</v>
      </c>
      <c r="C216" s="17">
        <v>1500126538</v>
      </c>
      <c r="D216" s="13" t="s">
        <v>103</v>
      </c>
      <c r="E216" s="19" t="s">
        <v>104</v>
      </c>
      <c r="F216" s="60">
        <v>2217</v>
      </c>
      <c r="G216" s="32">
        <v>323</v>
      </c>
      <c r="H216" s="208">
        <v>42549</v>
      </c>
      <c r="I216" s="90">
        <v>0</v>
      </c>
      <c r="J216" s="90">
        <f t="shared" si="6"/>
        <v>323</v>
      </c>
      <c r="K216" s="90" t="str">
        <f t="shared" si="5"/>
        <v>ATRASADO</v>
      </c>
    </row>
    <row r="217" spans="2:11" ht="24.75">
      <c r="B217" s="10">
        <v>42562</v>
      </c>
      <c r="C217" s="17">
        <v>1500126860</v>
      </c>
      <c r="D217" s="13" t="s">
        <v>103</v>
      </c>
      <c r="E217" s="19" t="s">
        <v>104</v>
      </c>
      <c r="F217" s="60">
        <v>2217</v>
      </c>
      <c r="G217" s="32">
        <v>1819</v>
      </c>
      <c r="H217" s="208">
        <v>42562</v>
      </c>
      <c r="I217" s="90">
        <v>0</v>
      </c>
      <c r="J217" s="90">
        <f t="shared" si="6"/>
        <v>1819</v>
      </c>
      <c r="K217" s="90" t="str">
        <f t="shared" si="5"/>
        <v>ATRASADO</v>
      </c>
    </row>
    <row r="218" spans="2:11" ht="24.75">
      <c r="B218" s="10">
        <v>42570</v>
      </c>
      <c r="C218" s="17">
        <v>1500127503</v>
      </c>
      <c r="D218" s="13" t="s">
        <v>103</v>
      </c>
      <c r="E218" s="19" t="s">
        <v>104</v>
      </c>
      <c r="F218" s="60">
        <v>2217</v>
      </c>
      <c r="G218" s="32">
        <v>720</v>
      </c>
      <c r="H218" s="208">
        <v>42570</v>
      </c>
      <c r="I218" s="90">
        <v>0</v>
      </c>
      <c r="J218" s="90">
        <f t="shared" si="6"/>
        <v>720</v>
      </c>
      <c r="K218" s="90" t="str">
        <f t="shared" si="5"/>
        <v>ATRASADO</v>
      </c>
    </row>
    <row r="219" spans="2:11" ht="24.75">
      <c r="B219" s="10">
        <v>42572</v>
      </c>
      <c r="C219" s="17">
        <v>1500127631</v>
      </c>
      <c r="D219" s="13" t="s">
        <v>103</v>
      </c>
      <c r="E219" s="19" t="s">
        <v>104</v>
      </c>
      <c r="F219" s="60">
        <v>2217</v>
      </c>
      <c r="G219" s="32">
        <v>288</v>
      </c>
      <c r="H219" s="208">
        <v>42572</v>
      </c>
      <c r="I219" s="90">
        <v>0</v>
      </c>
      <c r="J219" s="90">
        <f t="shared" si="6"/>
        <v>288</v>
      </c>
      <c r="K219" s="90" t="str">
        <f t="shared" si="5"/>
        <v>ATRASADO</v>
      </c>
    </row>
    <row r="220" spans="2:11" ht="24.75">
      <c r="B220" s="10">
        <v>42572</v>
      </c>
      <c r="C220" s="17">
        <v>1500127660</v>
      </c>
      <c r="D220" s="13" t="s">
        <v>103</v>
      </c>
      <c r="E220" s="19" t="s">
        <v>104</v>
      </c>
      <c r="F220" s="60">
        <v>2217</v>
      </c>
      <c r="G220" s="32">
        <v>12840</v>
      </c>
      <c r="H220" s="208">
        <v>42572</v>
      </c>
      <c r="I220" s="90">
        <v>0</v>
      </c>
      <c r="J220" s="90">
        <f t="shared" si="6"/>
        <v>12840</v>
      </c>
      <c r="K220" s="90" t="str">
        <f t="shared" si="5"/>
        <v>ATRASADO</v>
      </c>
    </row>
    <row r="221" spans="2:11" ht="24.75">
      <c r="B221" s="10">
        <v>42573</v>
      </c>
      <c r="C221" s="17">
        <v>1500127703</v>
      </c>
      <c r="D221" s="13" t="s">
        <v>103</v>
      </c>
      <c r="E221" s="19" t="s">
        <v>104</v>
      </c>
      <c r="F221" s="60">
        <v>2217</v>
      </c>
      <c r="G221" s="32">
        <v>1500</v>
      </c>
      <c r="H221" s="208">
        <v>42573</v>
      </c>
      <c r="I221" s="90">
        <v>0</v>
      </c>
      <c r="J221" s="90">
        <f t="shared" si="6"/>
        <v>1500</v>
      </c>
      <c r="K221" s="90" t="str">
        <f t="shared" si="5"/>
        <v>ATRASADO</v>
      </c>
    </row>
    <row r="222" spans="2:11" ht="24.75">
      <c r="B222" s="10">
        <v>42578</v>
      </c>
      <c r="C222" s="17">
        <v>1500127782</v>
      </c>
      <c r="D222" s="13" t="s">
        <v>103</v>
      </c>
      <c r="E222" s="19" t="s">
        <v>104</v>
      </c>
      <c r="F222" s="60">
        <v>2217</v>
      </c>
      <c r="G222" s="32">
        <v>327</v>
      </c>
      <c r="H222" s="208">
        <v>42578</v>
      </c>
      <c r="I222" s="90">
        <v>0</v>
      </c>
      <c r="J222" s="90">
        <f t="shared" si="6"/>
        <v>327</v>
      </c>
      <c r="K222" s="90" t="str">
        <f t="shared" si="5"/>
        <v>ATRASADO</v>
      </c>
    </row>
    <row r="223" spans="2:11" ht="24.75">
      <c r="B223" s="10">
        <v>42591</v>
      </c>
      <c r="C223" s="17">
        <v>1500128104</v>
      </c>
      <c r="D223" s="13" t="s">
        <v>103</v>
      </c>
      <c r="E223" s="19" t="s">
        <v>104</v>
      </c>
      <c r="F223" s="60">
        <v>2217</v>
      </c>
      <c r="G223" s="32">
        <v>1834</v>
      </c>
      <c r="H223" s="208">
        <v>42591</v>
      </c>
      <c r="I223" s="90">
        <v>0</v>
      </c>
      <c r="J223" s="90">
        <f t="shared" si="6"/>
        <v>1834</v>
      </c>
      <c r="K223" s="90" t="str">
        <f t="shared" si="5"/>
        <v>ATRASADO</v>
      </c>
    </row>
    <row r="224" spans="2:11" ht="24.75">
      <c r="B224" s="10">
        <v>42601</v>
      </c>
      <c r="C224" s="17">
        <v>1500128739</v>
      </c>
      <c r="D224" s="13" t="s">
        <v>103</v>
      </c>
      <c r="E224" s="19" t="s">
        <v>104</v>
      </c>
      <c r="F224" s="60">
        <v>2217</v>
      </c>
      <c r="G224" s="32">
        <v>720</v>
      </c>
      <c r="H224" s="208">
        <v>42601</v>
      </c>
      <c r="I224" s="90">
        <v>0</v>
      </c>
      <c r="J224" s="90">
        <f t="shared" si="6"/>
        <v>720</v>
      </c>
      <c r="K224" s="90" t="str">
        <f t="shared" si="5"/>
        <v>ATRASADO</v>
      </c>
    </row>
    <row r="225" spans="2:11" ht="24.75">
      <c r="B225" s="10">
        <v>42605</v>
      </c>
      <c r="C225" s="17">
        <v>1500128876</v>
      </c>
      <c r="D225" s="13" t="s">
        <v>103</v>
      </c>
      <c r="E225" s="19" t="s">
        <v>104</v>
      </c>
      <c r="F225" s="60">
        <v>2217</v>
      </c>
      <c r="G225" s="32">
        <v>12840</v>
      </c>
      <c r="H225" s="208">
        <v>42605</v>
      </c>
      <c r="I225" s="90">
        <v>0</v>
      </c>
      <c r="J225" s="90">
        <f t="shared" si="6"/>
        <v>12840</v>
      </c>
      <c r="K225" s="90" t="str">
        <f t="shared" si="5"/>
        <v>ATRASADO</v>
      </c>
    </row>
    <row r="226" spans="2:11" ht="24.75">
      <c r="B226" s="10">
        <v>42605</v>
      </c>
      <c r="C226" s="17">
        <v>1500128893</v>
      </c>
      <c r="D226" s="13" t="s">
        <v>103</v>
      </c>
      <c r="E226" s="19" t="s">
        <v>104</v>
      </c>
      <c r="F226" s="60">
        <v>2217</v>
      </c>
      <c r="G226" s="32">
        <v>288</v>
      </c>
      <c r="H226" s="208">
        <v>42605</v>
      </c>
      <c r="I226" s="90">
        <v>0</v>
      </c>
      <c r="J226" s="90">
        <f t="shared" si="6"/>
        <v>288</v>
      </c>
      <c r="K226" s="90" t="str">
        <f t="shared" si="5"/>
        <v>ATRASADO</v>
      </c>
    </row>
    <row r="227" spans="2:11" ht="24.75">
      <c r="B227" s="10">
        <v>42606</v>
      </c>
      <c r="C227" s="17">
        <v>1500128935</v>
      </c>
      <c r="D227" s="13" t="s">
        <v>103</v>
      </c>
      <c r="E227" s="19" t="s">
        <v>104</v>
      </c>
      <c r="F227" s="60">
        <v>2217</v>
      </c>
      <c r="G227" s="32">
        <v>1500</v>
      </c>
      <c r="H227" s="208">
        <v>42606</v>
      </c>
      <c r="I227" s="90">
        <v>0</v>
      </c>
      <c r="J227" s="90">
        <f t="shared" si="6"/>
        <v>1500</v>
      </c>
      <c r="K227" s="90" t="str">
        <f t="shared" si="5"/>
        <v>ATRASADO</v>
      </c>
    </row>
    <row r="228" spans="2:11" ht="24.75">
      <c r="B228" s="10">
        <v>42611</v>
      </c>
      <c r="C228" s="17">
        <v>1500129028</v>
      </c>
      <c r="D228" s="13" t="s">
        <v>103</v>
      </c>
      <c r="E228" s="19" t="s">
        <v>104</v>
      </c>
      <c r="F228" s="60">
        <v>2217</v>
      </c>
      <c r="G228" s="32">
        <v>327</v>
      </c>
      <c r="H228" s="208">
        <v>42611</v>
      </c>
      <c r="I228" s="90">
        <v>0</v>
      </c>
      <c r="J228" s="90">
        <f t="shared" si="6"/>
        <v>327</v>
      </c>
      <c r="K228" s="90" t="str">
        <f t="shared" si="5"/>
        <v>ATRASADO</v>
      </c>
    </row>
    <row r="229" spans="2:11" ht="24.75">
      <c r="B229" s="10">
        <v>42622</v>
      </c>
      <c r="C229" s="17">
        <v>1500129348</v>
      </c>
      <c r="D229" s="13" t="s">
        <v>103</v>
      </c>
      <c r="E229" s="19" t="s">
        <v>104</v>
      </c>
      <c r="F229" s="60">
        <v>2217</v>
      </c>
      <c r="G229" s="32">
        <v>1849</v>
      </c>
      <c r="H229" s="208">
        <v>42622</v>
      </c>
      <c r="I229" s="90">
        <v>0</v>
      </c>
      <c r="J229" s="90">
        <f t="shared" si="6"/>
        <v>1849</v>
      </c>
      <c r="K229" s="90" t="str">
        <f t="shared" si="5"/>
        <v>ATRASADO</v>
      </c>
    </row>
    <row r="230" spans="2:11" ht="24.75">
      <c r="B230" s="10">
        <v>42633</v>
      </c>
      <c r="C230" s="17">
        <v>1500129983</v>
      </c>
      <c r="D230" s="13" t="s">
        <v>103</v>
      </c>
      <c r="E230" s="19" t="s">
        <v>104</v>
      </c>
      <c r="F230" s="60">
        <v>2217</v>
      </c>
      <c r="G230" s="32">
        <v>720</v>
      </c>
      <c r="H230" s="208">
        <v>42633</v>
      </c>
      <c r="I230" s="90">
        <v>0</v>
      </c>
      <c r="J230" s="90">
        <f t="shared" si="6"/>
        <v>720</v>
      </c>
      <c r="K230" s="90" t="str">
        <f t="shared" si="5"/>
        <v>ATRASADO</v>
      </c>
    </row>
    <row r="231" spans="2:11" ht="24.75">
      <c r="B231" s="10">
        <v>42635</v>
      </c>
      <c r="C231" s="17">
        <v>1500130121</v>
      </c>
      <c r="D231" s="13" t="s">
        <v>103</v>
      </c>
      <c r="E231" s="19" t="s">
        <v>104</v>
      </c>
      <c r="F231" s="60">
        <v>2217</v>
      </c>
      <c r="G231" s="32">
        <v>12840</v>
      </c>
      <c r="H231" s="208">
        <v>42635</v>
      </c>
      <c r="I231" s="90">
        <v>0</v>
      </c>
      <c r="J231" s="90">
        <f t="shared" si="6"/>
        <v>12840</v>
      </c>
      <c r="K231" s="90" t="str">
        <f t="shared" si="5"/>
        <v>ATRASADO</v>
      </c>
    </row>
    <row r="232" spans="2:11" ht="24.75">
      <c r="B232" s="10">
        <v>42635</v>
      </c>
      <c r="C232" s="17">
        <v>1500130136</v>
      </c>
      <c r="D232" s="13" t="s">
        <v>103</v>
      </c>
      <c r="E232" s="19" t="s">
        <v>104</v>
      </c>
      <c r="F232" s="60">
        <v>2217</v>
      </c>
      <c r="G232" s="32">
        <v>288</v>
      </c>
      <c r="H232" s="208">
        <v>42635</v>
      </c>
      <c r="I232" s="90">
        <v>0</v>
      </c>
      <c r="J232" s="90">
        <f t="shared" si="6"/>
        <v>288</v>
      </c>
      <c r="K232" s="90" t="str">
        <f t="shared" si="5"/>
        <v>ATRASADO</v>
      </c>
    </row>
    <row r="233" spans="2:11" ht="24.75">
      <c r="B233" s="10">
        <v>42636</v>
      </c>
      <c r="C233" s="17">
        <v>1500130177</v>
      </c>
      <c r="D233" s="13" t="s">
        <v>103</v>
      </c>
      <c r="E233" s="19" t="s">
        <v>104</v>
      </c>
      <c r="F233" s="60">
        <v>2217</v>
      </c>
      <c r="G233" s="32">
        <v>1500</v>
      </c>
      <c r="H233" s="208">
        <v>42636</v>
      </c>
      <c r="I233" s="90">
        <v>0</v>
      </c>
      <c r="J233" s="90">
        <f t="shared" si="6"/>
        <v>1500</v>
      </c>
      <c r="K233" s="90" t="str">
        <f t="shared" si="5"/>
        <v>ATRASADO</v>
      </c>
    </row>
    <row r="234" spans="2:11" ht="24.75">
      <c r="B234" s="10">
        <v>42641</v>
      </c>
      <c r="C234" s="17">
        <v>1500130274</v>
      </c>
      <c r="D234" s="13" t="s">
        <v>103</v>
      </c>
      <c r="E234" s="19" t="s">
        <v>104</v>
      </c>
      <c r="F234" s="60">
        <v>2217</v>
      </c>
      <c r="G234" s="32">
        <v>335</v>
      </c>
      <c r="H234" s="208">
        <v>42641</v>
      </c>
      <c r="I234" s="90">
        <v>0</v>
      </c>
      <c r="J234" s="90">
        <f t="shared" si="6"/>
        <v>335</v>
      </c>
      <c r="K234" s="90" t="str">
        <f t="shared" si="5"/>
        <v>ATRASADO</v>
      </c>
    </row>
    <row r="235" spans="2:11" ht="24.75">
      <c r="B235" s="10">
        <v>42662</v>
      </c>
      <c r="C235" s="17">
        <v>1500131234</v>
      </c>
      <c r="D235" s="13" t="s">
        <v>103</v>
      </c>
      <c r="E235" s="19" t="s">
        <v>104</v>
      </c>
      <c r="F235" s="60">
        <v>2217</v>
      </c>
      <c r="G235" s="32">
        <v>720</v>
      </c>
      <c r="H235" s="208">
        <v>42662</v>
      </c>
      <c r="I235" s="90">
        <v>0</v>
      </c>
      <c r="J235" s="90">
        <f t="shared" si="6"/>
        <v>720</v>
      </c>
      <c r="K235" s="90" t="str">
        <f t="shared" ref="K235:K298" si="7">IF(J235&gt;0,"ATRASADO","")</f>
        <v>ATRASADO</v>
      </c>
    </row>
    <row r="236" spans="2:11" ht="24.75">
      <c r="B236" s="10">
        <v>42664</v>
      </c>
      <c r="C236" s="17">
        <v>1500131361</v>
      </c>
      <c r="D236" s="13" t="s">
        <v>103</v>
      </c>
      <c r="E236" s="19" t="s">
        <v>104</v>
      </c>
      <c r="F236" s="60">
        <v>2217</v>
      </c>
      <c r="G236" s="32">
        <v>12840</v>
      </c>
      <c r="H236" s="208">
        <v>42664</v>
      </c>
      <c r="I236" s="90">
        <v>0</v>
      </c>
      <c r="J236" s="90">
        <f t="shared" si="6"/>
        <v>12840</v>
      </c>
      <c r="K236" s="90" t="str">
        <f t="shared" si="7"/>
        <v>ATRASADO</v>
      </c>
    </row>
    <row r="237" spans="2:11" ht="24.75">
      <c r="B237" s="10">
        <v>40472</v>
      </c>
      <c r="C237" s="17">
        <v>1500131376</v>
      </c>
      <c r="D237" s="13" t="s">
        <v>103</v>
      </c>
      <c r="E237" s="19" t="s">
        <v>104</v>
      </c>
      <c r="F237" s="60">
        <v>2217</v>
      </c>
      <c r="G237" s="32">
        <v>288</v>
      </c>
      <c r="H237" s="208">
        <v>40472</v>
      </c>
      <c r="I237" s="90">
        <v>0</v>
      </c>
      <c r="J237" s="90">
        <f t="shared" si="6"/>
        <v>288</v>
      </c>
      <c r="K237" s="90" t="str">
        <f t="shared" si="7"/>
        <v>ATRASADO</v>
      </c>
    </row>
    <row r="238" spans="2:11" ht="24.75">
      <c r="B238" s="10" t="s">
        <v>105</v>
      </c>
      <c r="C238" s="17">
        <v>1500131417</v>
      </c>
      <c r="D238" s="13" t="s">
        <v>103</v>
      </c>
      <c r="E238" s="19" t="s">
        <v>104</v>
      </c>
      <c r="F238" s="60">
        <v>2217</v>
      </c>
      <c r="G238" s="32">
        <v>1500</v>
      </c>
      <c r="H238" s="208" t="s">
        <v>105</v>
      </c>
      <c r="I238" s="90">
        <v>0</v>
      </c>
      <c r="J238" s="90">
        <f t="shared" si="6"/>
        <v>1500</v>
      </c>
      <c r="K238" s="90" t="str">
        <f t="shared" si="7"/>
        <v>ATRASADO</v>
      </c>
    </row>
    <row r="239" spans="2:11" ht="24.75">
      <c r="B239" s="10">
        <v>42670</v>
      </c>
      <c r="C239" s="17">
        <v>1500131509</v>
      </c>
      <c r="D239" s="13" t="s">
        <v>103</v>
      </c>
      <c r="E239" s="19" t="s">
        <v>104</v>
      </c>
      <c r="F239" s="60">
        <v>2217</v>
      </c>
      <c r="G239" s="32">
        <v>335</v>
      </c>
      <c r="H239" s="208">
        <v>42670</v>
      </c>
      <c r="I239" s="90">
        <v>0</v>
      </c>
      <c r="J239" s="90">
        <f t="shared" si="6"/>
        <v>335</v>
      </c>
      <c r="K239" s="90" t="str">
        <f t="shared" si="7"/>
        <v>ATRASADO</v>
      </c>
    </row>
    <row r="240" spans="2:11" ht="24.75">
      <c r="B240" s="10">
        <v>42723</v>
      </c>
      <c r="C240" s="17">
        <v>1500133715</v>
      </c>
      <c r="D240" s="13" t="s">
        <v>103</v>
      </c>
      <c r="E240" s="19" t="s">
        <v>104</v>
      </c>
      <c r="F240" s="60">
        <v>2217</v>
      </c>
      <c r="G240" s="32">
        <v>720</v>
      </c>
      <c r="H240" s="208">
        <v>42723</v>
      </c>
      <c r="I240" s="90">
        <v>0</v>
      </c>
      <c r="J240" s="90">
        <f t="shared" si="6"/>
        <v>720</v>
      </c>
      <c r="K240" s="90" t="str">
        <f t="shared" si="7"/>
        <v>ATRASADO</v>
      </c>
    </row>
    <row r="241" spans="2:11" ht="24.75">
      <c r="B241" s="10">
        <v>42725</v>
      </c>
      <c r="C241" s="17">
        <v>1500133853</v>
      </c>
      <c r="D241" s="13" t="s">
        <v>103</v>
      </c>
      <c r="E241" s="19" t="s">
        <v>104</v>
      </c>
      <c r="F241" s="60">
        <v>2217</v>
      </c>
      <c r="G241" s="32">
        <v>110405</v>
      </c>
      <c r="H241" s="208">
        <v>42725</v>
      </c>
      <c r="I241" s="90">
        <v>0</v>
      </c>
      <c r="J241" s="90">
        <f t="shared" si="6"/>
        <v>110405</v>
      </c>
      <c r="K241" s="90" t="str">
        <f t="shared" si="7"/>
        <v>ATRASADO</v>
      </c>
    </row>
    <row r="242" spans="2:11" ht="24.75">
      <c r="B242" s="10">
        <v>42725</v>
      </c>
      <c r="C242" s="17">
        <v>1500133868</v>
      </c>
      <c r="D242" s="13" t="s">
        <v>103</v>
      </c>
      <c r="E242" s="19" t="s">
        <v>104</v>
      </c>
      <c r="F242" s="60">
        <v>2217</v>
      </c>
      <c r="G242" s="32">
        <v>288</v>
      </c>
      <c r="H242" s="208">
        <v>42725</v>
      </c>
      <c r="I242" s="90">
        <v>0</v>
      </c>
      <c r="J242" s="90">
        <f t="shared" si="6"/>
        <v>288</v>
      </c>
      <c r="K242" s="90" t="str">
        <f t="shared" si="7"/>
        <v>ATRASADO</v>
      </c>
    </row>
    <row r="243" spans="2:11" ht="24.75">
      <c r="B243" s="10">
        <v>42726</v>
      </c>
      <c r="C243" s="17">
        <v>1500133909</v>
      </c>
      <c r="D243" s="13" t="s">
        <v>103</v>
      </c>
      <c r="E243" s="19" t="s">
        <v>104</v>
      </c>
      <c r="F243" s="60">
        <v>2217</v>
      </c>
      <c r="G243" s="32">
        <v>1500</v>
      </c>
      <c r="H243" s="208">
        <v>42726</v>
      </c>
      <c r="I243" s="90">
        <v>0</v>
      </c>
      <c r="J243" s="90">
        <f t="shared" si="6"/>
        <v>1500</v>
      </c>
      <c r="K243" s="90" t="str">
        <f t="shared" si="7"/>
        <v>ATRASADO</v>
      </c>
    </row>
    <row r="244" spans="2:11" ht="24.75">
      <c r="B244" s="10">
        <v>42731</v>
      </c>
      <c r="C244" s="17">
        <v>1500134007</v>
      </c>
      <c r="D244" s="13" t="s">
        <v>103</v>
      </c>
      <c r="E244" s="19" t="s">
        <v>104</v>
      </c>
      <c r="F244" s="60">
        <v>2217</v>
      </c>
      <c r="G244" s="32">
        <v>347</v>
      </c>
      <c r="H244" s="208">
        <v>42731</v>
      </c>
      <c r="I244" s="90">
        <v>0</v>
      </c>
      <c r="J244" s="90">
        <f t="shared" si="6"/>
        <v>347</v>
      </c>
      <c r="K244" s="90" t="str">
        <f t="shared" si="7"/>
        <v>ATRASADO</v>
      </c>
    </row>
    <row r="245" spans="2:11" ht="24.75">
      <c r="B245" s="10">
        <v>42895</v>
      </c>
      <c r="C245" s="17">
        <v>1500141314</v>
      </c>
      <c r="D245" s="13" t="s">
        <v>103</v>
      </c>
      <c r="E245" s="19" t="s">
        <v>104</v>
      </c>
      <c r="F245" s="60">
        <v>2217</v>
      </c>
      <c r="G245" s="32">
        <v>1500</v>
      </c>
      <c r="H245" s="208">
        <v>42895</v>
      </c>
      <c r="I245" s="90">
        <v>0</v>
      </c>
      <c r="J245" s="90">
        <f t="shared" si="6"/>
        <v>1500</v>
      </c>
      <c r="K245" s="90" t="str">
        <f t="shared" si="7"/>
        <v>ATRASADO</v>
      </c>
    </row>
    <row r="246" spans="2:11" ht="24.75">
      <c r="B246" s="10">
        <v>42898</v>
      </c>
      <c r="C246" s="17">
        <v>1500141422</v>
      </c>
      <c r="D246" s="13" t="s">
        <v>103</v>
      </c>
      <c r="E246" s="19" t="s">
        <v>104</v>
      </c>
      <c r="F246" s="60">
        <v>2217</v>
      </c>
      <c r="G246" s="32">
        <v>12840</v>
      </c>
      <c r="H246" s="208">
        <v>42898</v>
      </c>
      <c r="I246" s="90">
        <v>0</v>
      </c>
      <c r="J246" s="90">
        <f t="shared" si="6"/>
        <v>12840</v>
      </c>
      <c r="K246" s="90" t="str">
        <f t="shared" si="7"/>
        <v>ATRASADO</v>
      </c>
    </row>
    <row r="247" spans="2:11" ht="24.75">
      <c r="B247" s="10">
        <v>42898</v>
      </c>
      <c r="C247" s="17">
        <v>1500141425</v>
      </c>
      <c r="D247" s="13" t="s">
        <v>103</v>
      </c>
      <c r="E247" s="19" t="s">
        <v>104</v>
      </c>
      <c r="F247" s="60">
        <v>2217</v>
      </c>
      <c r="G247" s="32">
        <v>288</v>
      </c>
      <c r="H247" s="208">
        <v>42898</v>
      </c>
      <c r="I247" s="90">
        <v>0</v>
      </c>
      <c r="J247" s="90">
        <f t="shared" si="6"/>
        <v>288</v>
      </c>
      <c r="K247" s="90" t="str">
        <f t="shared" si="7"/>
        <v>ATRASADO</v>
      </c>
    </row>
    <row r="248" spans="2:11" ht="24.75">
      <c r="B248" s="10">
        <v>42900</v>
      </c>
      <c r="C248" s="17">
        <v>1500141515</v>
      </c>
      <c r="D248" s="13" t="s">
        <v>103</v>
      </c>
      <c r="E248" s="19" t="s">
        <v>104</v>
      </c>
      <c r="F248" s="60">
        <v>2217</v>
      </c>
      <c r="G248" s="32">
        <v>363</v>
      </c>
      <c r="H248" s="208">
        <v>42900</v>
      </c>
      <c r="I248" s="90">
        <v>0</v>
      </c>
      <c r="J248" s="90">
        <f t="shared" si="6"/>
        <v>363</v>
      </c>
      <c r="K248" s="90" t="str">
        <f t="shared" si="7"/>
        <v>ATRASADO</v>
      </c>
    </row>
    <row r="249" spans="2:11" ht="24.75">
      <c r="B249" s="10">
        <v>42928</v>
      </c>
      <c r="C249" s="17">
        <v>1500142575</v>
      </c>
      <c r="D249" s="13" t="s">
        <v>103</v>
      </c>
      <c r="E249" s="19" t="s">
        <v>104</v>
      </c>
      <c r="F249" s="60">
        <v>2217</v>
      </c>
      <c r="G249" s="32">
        <v>367</v>
      </c>
      <c r="H249" s="208">
        <v>42928</v>
      </c>
      <c r="I249" s="90">
        <v>0</v>
      </c>
      <c r="J249" s="90">
        <f t="shared" si="6"/>
        <v>367</v>
      </c>
      <c r="K249" s="90" t="str">
        <f t="shared" si="7"/>
        <v>ATRASADO</v>
      </c>
    </row>
    <row r="250" spans="2:11" ht="24.75">
      <c r="B250" s="10">
        <v>42928</v>
      </c>
      <c r="C250" s="17">
        <v>1500142597</v>
      </c>
      <c r="D250" s="13" t="s">
        <v>103</v>
      </c>
      <c r="E250" s="19" t="s">
        <v>104</v>
      </c>
      <c r="F250" s="60">
        <v>2217</v>
      </c>
      <c r="G250" s="32">
        <v>12840</v>
      </c>
      <c r="H250" s="208">
        <v>42928</v>
      </c>
      <c r="I250" s="90">
        <v>0</v>
      </c>
      <c r="J250" s="90">
        <f t="shared" si="6"/>
        <v>12840</v>
      </c>
      <c r="K250" s="90" t="str">
        <f t="shared" si="7"/>
        <v>ATRASADO</v>
      </c>
    </row>
    <row r="251" spans="2:11" ht="24.75">
      <c r="B251" s="10">
        <v>42928</v>
      </c>
      <c r="C251" s="17">
        <v>1500142600</v>
      </c>
      <c r="D251" s="13" t="s">
        <v>103</v>
      </c>
      <c r="E251" s="19" t="s">
        <v>104</v>
      </c>
      <c r="F251" s="60">
        <v>2217</v>
      </c>
      <c r="G251" s="32">
        <v>288</v>
      </c>
      <c r="H251" s="208">
        <v>42928</v>
      </c>
      <c r="I251" s="90">
        <v>0</v>
      </c>
      <c r="J251" s="90">
        <f t="shared" si="6"/>
        <v>288</v>
      </c>
      <c r="K251" s="90" t="str">
        <f t="shared" si="7"/>
        <v>ATRASADO</v>
      </c>
    </row>
    <row r="252" spans="2:11" ht="24.75">
      <c r="B252" s="10">
        <v>42928</v>
      </c>
      <c r="C252" s="17">
        <v>1500142629</v>
      </c>
      <c r="D252" s="13" t="s">
        <v>103</v>
      </c>
      <c r="E252" s="19" t="s">
        <v>104</v>
      </c>
      <c r="F252" s="60">
        <v>2217</v>
      </c>
      <c r="G252" s="32">
        <v>1500</v>
      </c>
      <c r="H252" s="208">
        <v>42928</v>
      </c>
      <c r="I252" s="90">
        <v>0</v>
      </c>
      <c r="J252" s="90">
        <f t="shared" si="6"/>
        <v>1500</v>
      </c>
      <c r="K252" s="90" t="str">
        <f t="shared" si="7"/>
        <v>ATRASADO</v>
      </c>
    </row>
    <row r="253" spans="2:11" ht="24.75">
      <c r="B253" s="10">
        <v>42928</v>
      </c>
      <c r="C253" s="17">
        <v>1500142699</v>
      </c>
      <c r="D253" s="13" t="s">
        <v>103</v>
      </c>
      <c r="E253" s="19" t="s">
        <v>104</v>
      </c>
      <c r="F253" s="60">
        <v>2217</v>
      </c>
      <c r="G253" s="32">
        <v>720</v>
      </c>
      <c r="H253" s="208">
        <v>42928</v>
      </c>
      <c r="I253" s="90">
        <v>0</v>
      </c>
      <c r="J253" s="90">
        <f t="shared" si="6"/>
        <v>720</v>
      </c>
      <c r="K253" s="90" t="str">
        <f t="shared" si="7"/>
        <v>ATRASADO</v>
      </c>
    </row>
    <row r="254" spans="2:11" ht="24.75">
      <c r="B254" s="10">
        <v>42961</v>
      </c>
      <c r="C254" s="17">
        <v>1500143890</v>
      </c>
      <c r="D254" s="13" t="s">
        <v>103</v>
      </c>
      <c r="E254" s="19" t="s">
        <v>104</v>
      </c>
      <c r="F254" s="60">
        <v>2217</v>
      </c>
      <c r="G254" s="32">
        <v>720</v>
      </c>
      <c r="H254" s="208">
        <v>42961</v>
      </c>
      <c r="I254" s="90">
        <v>0</v>
      </c>
      <c r="J254" s="90">
        <f t="shared" si="6"/>
        <v>720</v>
      </c>
      <c r="K254" s="90" t="str">
        <f t="shared" si="7"/>
        <v>ATRASADO</v>
      </c>
    </row>
    <row r="255" spans="2:11" ht="24.75">
      <c r="B255" s="10">
        <v>42961</v>
      </c>
      <c r="C255" s="17">
        <v>1500143922</v>
      </c>
      <c r="D255" s="13" t="s">
        <v>103</v>
      </c>
      <c r="E255" s="19" t="s">
        <v>104</v>
      </c>
      <c r="F255" s="60">
        <v>2217</v>
      </c>
      <c r="G255" s="32">
        <v>12840</v>
      </c>
      <c r="H255" s="208">
        <v>42961</v>
      </c>
      <c r="I255" s="90">
        <v>0</v>
      </c>
      <c r="J255" s="90">
        <f t="shared" si="6"/>
        <v>12840</v>
      </c>
      <c r="K255" s="90" t="str">
        <f t="shared" si="7"/>
        <v>ATRASADO</v>
      </c>
    </row>
    <row r="256" spans="2:11" ht="24.75">
      <c r="B256" s="10">
        <v>42961</v>
      </c>
      <c r="C256" s="17">
        <v>1500143925</v>
      </c>
      <c r="D256" s="13" t="s">
        <v>103</v>
      </c>
      <c r="E256" s="19" t="s">
        <v>104</v>
      </c>
      <c r="F256" s="60">
        <v>2217</v>
      </c>
      <c r="G256" s="32">
        <v>288</v>
      </c>
      <c r="H256" s="208">
        <v>42961</v>
      </c>
      <c r="I256" s="90">
        <v>0</v>
      </c>
      <c r="J256" s="90">
        <f t="shared" si="6"/>
        <v>288</v>
      </c>
      <c r="K256" s="90" t="str">
        <f t="shared" si="7"/>
        <v>ATRASADO</v>
      </c>
    </row>
    <row r="257" spans="2:11" ht="24.75">
      <c r="B257" s="10">
        <v>42961</v>
      </c>
      <c r="C257" s="17">
        <v>1500143965</v>
      </c>
      <c r="D257" s="13" t="s">
        <v>103</v>
      </c>
      <c r="E257" s="19" t="s">
        <v>104</v>
      </c>
      <c r="F257" s="60">
        <v>2217</v>
      </c>
      <c r="G257" s="32">
        <v>1500</v>
      </c>
      <c r="H257" s="208">
        <v>42961</v>
      </c>
      <c r="I257" s="90">
        <v>0</v>
      </c>
      <c r="J257" s="90">
        <f t="shared" si="6"/>
        <v>1500</v>
      </c>
      <c r="K257" s="90" t="str">
        <f t="shared" si="7"/>
        <v>ATRASADO</v>
      </c>
    </row>
    <row r="258" spans="2:11" ht="24.75">
      <c r="B258" s="10">
        <v>42961</v>
      </c>
      <c r="C258" s="17">
        <v>1500144001</v>
      </c>
      <c r="D258" s="13" t="s">
        <v>103</v>
      </c>
      <c r="E258" s="19" t="s">
        <v>104</v>
      </c>
      <c r="F258" s="60">
        <v>2217</v>
      </c>
      <c r="G258" s="32">
        <v>371</v>
      </c>
      <c r="H258" s="208">
        <v>42961</v>
      </c>
      <c r="I258" s="90">
        <v>0</v>
      </c>
      <c r="J258" s="90">
        <f t="shared" si="6"/>
        <v>371</v>
      </c>
      <c r="K258" s="90" t="str">
        <f t="shared" si="7"/>
        <v>ATRASADO</v>
      </c>
    </row>
    <row r="259" spans="2:11" ht="24.75">
      <c r="B259" s="10">
        <v>42692</v>
      </c>
      <c r="C259" s="17">
        <v>11500132466</v>
      </c>
      <c r="D259" s="13" t="s">
        <v>103</v>
      </c>
      <c r="E259" s="19" t="s">
        <v>104</v>
      </c>
      <c r="F259" s="60">
        <v>2217</v>
      </c>
      <c r="G259" s="32">
        <v>720</v>
      </c>
      <c r="H259" s="208">
        <v>42692</v>
      </c>
      <c r="I259" s="90">
        <v>0</v>
      </c>
      <c r="J259" s="90">
        <f t="shared" si="6"/>
        <v>720</v>
      </c>
      <c r="K259" s="90" t="str">
        <f t="shared" si="7"/>
        <v>ATRASADO</v>
      </c>
    </row>
    <row r="260" spans="2:11" ht="24.75">
      <c r="B260" s="10">
        <v>42696</v>
      </c>
      <c r="C260" s="17">
        <v>11500132604</v>
      </c>
      <c r="D260" s="13" t="s">
        <v>103</v>
      </c>
      <c r="E260" s="19" t="s">
        <v>104</v>
      </c>
      <c r="F260" s="60">
        <v>2217</v>
      </c>
      <c r="G260" s="32">
        <v>12840</v>
      </c>
      <c r="H260" s="208">
        <v>42696</v>
      </c>
      <c r="I260" s="90">
        <v>0</v>
      </c>
      <c r="J260" s="90">
        <f t="shared" si="6"/>
        <v>12840</v>
      </c>
      <c r="K260" s="90" t="str">
        <f t="shared" si="7"/>
        <v>ATRASADO</v>
      </c>
    </row>
    <row r="261" spans="2:11" ht="24.75">
      <c r="B261" s="10">
        <v>42696</v>
      </c>
      <c r="C261" s="17">
        <v>11500132619</v>
      </c>
      <c r="D261" s="13" t="s">
        <v>103</v>
      </c>
      <c r="E261" s="19" t="s">
        <v>104</v>
      </c>
      <c r="F261" s="60">
        <v>2217</v>
      </c>
      <c r="G261" s="32">
        <v>288</v>
      </c>
      <c r="H261" s="208">
        <v>42696</v>
      </c>
      <c r="I261" s="90">
        <v>0</v>
      </c>
      <c r="J261" s="90">
        <f t="shared" si="6"/>
        <v>288</v>
      </c>
      <c r="K261" s="90" t="str">
        <f t="shared" si="7"/>
        <v>ATRASADO</v>
      </c>
    </row>
    <row r="262" spans="2:11" ht="24.75">
      <c r="B262" s="10">
        <v>42697</v>
      </c>
      <c r="C262" s="17">
        <v>11500132660</v>
      </c>
      <c r="D262" s="13" t="s">
        <v>103</v>
      </c>
      <c r="E262" s="19" t="s">
        <v>104</v>
      </c>
      <c r="F262" s="60">
        <v>2217</v>
      </c>
      <c r="G262" s="32">
        <v>1500</v>
      </c>
      <c r="H262" s="208">
        <v>42697</v>
      </c>
      <c r="I262" s="90">
        <v>0</v>
      </c>
      <c r="J262" s="90">
        <f t="shared" si="6"/>
        <v>1500</v>
      </c>
      <c r="K262" s="90" t="str">
        <f t="shared" si="7"/>
        <v>ATRASADO</v>
      </c>
    </row>
    <row r="263" spans="2:11" ht="24.75">
      <c r="B263" s="10">
        <v>42702</v>
      </c>
      <c r="C263" s="17">
        <v>11500132758</v>
      </c>
      <c r="D263" s="13" t="s">
        <v>103</v>
      </c>
      <c r="E263" s="19" t="s">
        <v>104</v>
      </c>
      <c r="F263" s="60">
        <v>2217</v>
      </c>
      <c r="G263" s="32">
        <v>339</v>
      </c>
      <c r="H263" s="208">
        <v>42702</v>
      </c>
      <c r="I263" s="90">
        <v>0</v>
      </c>
      <c r="J263" s="90">
        <f t="shared" si="6"/>
        <v>339</v>
      </c>
      <c r="K263" s="90" t="str">
        <f t="shared" si="7"/>
        <v>ATRASADO</v>
      </c>
    </row>
    <row r="264" spans="2:11" ht="24.75">
      <c r="B264" s="10">
        <v>42753</v>
      </c>
      <c r="C264" s="17">
        <v>11500134963</v>
      </c>
      <c r="D264" s="13" t="s">
        <v>103</v>
      </c>
      <c r="E264" s="19" t="s">
        <v>104</v>
      </c>
      <c r="F264" s="60">
        <v>2217</v>
      </c>
      <c r="G264" s="32">
        <v>720</v>
      </c>
      <c r="H264" s="208">
        <v>42753</v>
      </c>
      <c r="I264" s="90">
        <v>0</v>
      </c>
      <c r="J264" s="90">
        <f t="shared" si="6"/>
        <v>720</v>
      </c>
      <c r="K264" s="90" t="str">
        <f t="shared" si="7"/>
        <v>ATRASADO</v>
      </c>
    </row>
    <row r="265" spans="2:11" ht="24.75">
      <c r="B265" s="10">
        <v>42755</v>
      </c>
      <c r="C265" s="17">
        <v>11500135101</v>
      </c>
      <c r="D265" s="13" t="s">
        <v>103</v>
      </c>
      <c r="E265" s="19" t="s">
        <v>104</v>
      </c>
      <c r="F265" s="60">
        <v>2217</v>
      </c>
      <c r="G265" s="32">
        <v>12840</v>
      </c>
      <c r="H265" s="208">
        <v>42755</v>
      </c>
      <c r="I265" s="90">
        <v>0</v>
      </c>
      <c r="J265" s="90">
        <f t="shared" si="6"/>
        <v>12840</v>
      </c>
      <c r="K265" s="90" t="str">
        <f t="shared" si="7"/>
        <v>ATRASADO</v>
      </c>
    </row>
    <row r="266" spans="2:11" ht="24.75">
      <c r="B266" s="10">
        <v>42755</v>
      </c>
      <c r="C266" s="17">
        <v>11500135117</v>
      </c>
      <c r="D266" s="13" t="s">
        <v>103</v>
      </c>
      <c r="E266" s="19" t="s">
        <v>104</v>
      </c>
      <c r="F266" s="60">
        <v>2217</v>
      </c>
      <c r="G266" s="32">
        <v>288</v>
      </c>
      <c r="H266" s="208">
        <v>42755</v>
      </c>
      <c r="I266" s="90">
        <v>0</v>
      </c>
      <c r="J266" s="90">
        <f t="shared" si="6"/>
        <v>288</v>
      </c>
      <c r="K266" s="90" t="str">
        <f t="shared" si="7"/>
        <v>ATRASADO</v>
      </c>
    </row>
    <row r="267" spans="2:11" ht="24.75">
      <c r="B267" s="10">
        <v>42758</v>
      </c>
      <c r="C267" s="17">
        <v>11500135158</v>
      </c>
      <c r="D267" s="13" t="s">
        <v>103</v>
      </c>
      <c r="E267" s="19" t="s">
        <v>104</v>
      </c>
      <c r="F267" s="60">
        <v>2217</v>
      </c>
      <c r="G267" s="32">
        <v>1500</v>
      </c>
      <c r="H267" s="208">
        <v>42758</v>
      </c>
      <c r="I267" s="90">
        <v>0</v>
      </c>
      <c r="J267" s="90">
        <f t="shared" si="6"/>
        <v>1500</v>
      </c>
      <c r="K267" s="90" t="str">
        <f t="shared" si="7"/>
        <v>ATRASADO</v>
      </c>
    </row>
    <row r="268" spans="2:11" ht="24.75">
      <c r="B268" s="10">
        <v>42761</v>
      </c>
      <c r="C268" s="17">
        <v>11500135263</v>
      </c>
      <c r="D268" s="13" t="s">
        <v>103</v>
      </c>
      <c r="E268" s="19" t="s">
        <v>104</v>
      </c>
      <c r="F268" s="60">
        <v>2217</v>
      </c>
      <c r="G268" s="32">
        <v>347</v>
      </c>
      <c r="H268" s="208">
        <v>42761</v>
      </c>
      <c r="I268" s="90">
        <v>0</v>
      </c>
      <c r="J268" s="90">
        <f t="shared" si="6"/>
        <v>347</v>
      </c>
      <c r="K268" s="90" t="str">
        <f t="shared" si="7"/>
        <v>ATRASADO</v>
      </c>
    </row>
    <row r="269" spans="2:11" ht="24.75">
      <c r="B269" s="10">
        <v>42775</v>
      </c>
      <c r="C269" s="17">
        <v>11500136232</v>
      </c>
      <c r="D269" s="13" t="s">
        <v>103</v>
      </c>
      <c r="E269" s="19" t="s">
        <v>104</v>
      </c>
      <c r="F269" s="60">
        <v>2217</v>
      </c>
      <c r="G269" s="32">
        <v>720</v>
      </c>
      <c r="H269" s="208">
        <v>42775</v>
      </c>
      <c r="I269" s="90">
        <v>0</v>
      </c>
      <c r="J269" s="90">
        <f t="shared" si="6"/>
        <v>720</v>
      </c>
      <c r="K269" s="90" t="str">
        <f t="shared" si="7"/>
        <v>ATRASADO</v>
      </c>
    </row>
    <row r="270" spans="2:11" ht="24.75">
      <c r="B270" s="10">
        <v>42775</v>
      </c>
      <c r="C270" s="17">
        <v>11500136271</v>
      </c>
      <c r="D270" s="13" t="s">
        <v>103</v>
      </c>
      <c r="E270" s="19" t="s">
        <v>104</v>
      </c>
      <c r="F270" s="60">
        <v>2217</v>
      </c>
      <c r="G270" s="32">
        <v>1500</v>
      </c>
      <c r="H270" s="208">
        <v>42775</v>
      </c>
      <c r="I270" s="90">
        <v>0</v>
      </c>
      <c r="J270" s="90">
        <f t="shared" si="6"/>
        <v>1500</v>
      </c>
      <c r="K270" s="90" t="str">
        <f t="shared" si="7"/>
        <v>ATRASADO</v>
      </c>
    </row>
    <row r="271" spans="2:11" ht="24.75">
      <c r="B271" s="10">
        <v>42775</v>
      </c>
      <c r="C271" s="17">
        <v>11500136286</v>
      </c>
      <c r="D271" s="13" t="s">
        <v>103</v>
      </c>
      <c r="E271" s="19" t="s">
        <v>104</v>
      </c>
      <c r="F271" s="60">
        <v>2217</v>
      </c>
      <c r="G271" s="32">
        <v>351</v>
      </c>
      <c r="H271" s="208">
        <v>42775</v>
      </c>
      <c r="I271" s="90">
        <v>0</v>
      </c>
      <c r="J271" s="90">
        <f t="shared" si="6"/>
        <v>351</v>
      </c>
      <c r="K271" s="90" t="str">
        <f t="shared" si="7"/>
        <v>ATRASADO</v>
      </c>
    </row>
    <row r="272" spans="2:11" ht="24.75">
      <c r="B272" s="10">
        <v>42780</v>
      </c>
      <c r="C272" s="17">
        <v>11500136456</v>
      </c>
      <c r="D272" s="13" t="s">
        <v>103</v>
      </c>
      <c r="E272" s="19" t="s">
        <v>104</v>
      </c>
      <c r="F272" s="60">
        <v>2217</v>
      </c>
      <c r="G272" s="32">
        <v>12840</v>
      </c>
      <c r="H272" s="208">
        <v>42780</v>
      </c>
      <c r="I272" s="90">
        <v>0</v>
      </c>
      <c r="J272" s="90">
        <f t="shared" ref="J272:J335" si="8">IF(G272&gt;0,G272,"")</f>
        <v>12840</v>
      </c>
      <c r="K272" s="90" t="str">
        <f t="shared" si="7"/>
        <v>ATRASADO</v>
      </c>
    </row>
    <row r="273" spans="2:11" ht="24.75">
      <c r="B273" s="10">
        <v>42780</v>
      </c>
      <c r="C273" s="17">
        <v>11500136459</v>
      </c>
      <c r="D273" s="13" t="s">
        <v>103</v>
      </c>
      <c r="E273" s="19" t="s">
        <v>104</v>
      </c>
      <c r="F273" s="60">
        <v>2217</v>
      </c>
      <c r="G273" s="32">
        <v>288</v>
      </c>
      <c r="H273" s="208">
        <v>42780</v>
      </c>
      <c r="I273" s="90">
        <v>0</v>
      </c>
      <c r="J273" s="90">
        <f t="shared" si="8"/>
        <v>288</v>
      </c>
      <c r="K273" s="90" t="str">
        <f t="shared" si="7"/>
        <v>ATRASADO</v>
      </c>
    </row>
    <row r="274" spans="2:11" ht="24.75">
      <c r="B274" s="10">
        <v>42807</v>
      </c>
      <c r="C274" s="17">
        <v>11500137393</v>
      </c>
      <c r="D274" s="13" t="s">
        <v>103</v>
      </c>
      <c r="E274" s="19" t="s">
        <v>104</v>
      </c>
      <c r="F274" s="60">
        <v>2217</v>
      </c>
      <c r="G274" s="32">
        <v>720</v>
      </c>
      <c r="H274" s="208">
        <v>42807</v>
      </c>
      <c r="I274" s="90">
        <v>0</v>
      </c>
      <c r="J274" s="90">
        <f t="shared" si="8"/>
        <v>720</v>
      </c>
      <c r="K274" s="90" t="str">
        <f t="shared" si="7"/>
        <v>ATRASADO</v>
      </c>
    </row>
    <row r="275" spans="2:11" ht="24.75">
      <c r="B275" s="10">
        <v>42808</v>
      </c>
      <c r="C275" s="17">
        <v>11500137561</v>
      </c>
      <c r="D275" s="13" t="s">
        <v>103</v>
      </c>
      <c r="E275" s="19" t="s">
        <v>104</v>
      </c>
      <c r="F275" s="60">
        <v>2217</v>
      </c>
      <c r="G275" s="32">
        <v>12840</v>
      </c>
      <c r="H275" s="208">
        <v>42808</v>
      </c>
      <c r="I275" s="90">
        <v>0</v>
      </c>
      <c r="J275" s="90">
        <f t="shared" si="8"/>
        <v>12840</v>
      </c>
      <c r="K275" s="90" t="str">
        <f t="shared" si="7"/>
        <v>ATRASADO</v>
      </c>
    </row>
    <row r="276" spans="2:11" ht="24.75">
      <c r="B276" s="10">
        <v>42808</v>
      </c>
      <c r="C276" s="17">
        <v>11500137564</v>
      </c>
      <c r="D276" s="13" t="s">
        <v>103</v>
      </c>
      <c r="E276" s="19" t="s">
        <v>104</v>
      </c>
      <c r="F276" s="60">
        <v>2217</v>
      </c>
      <c r="G276" s="32">
        <v>288</v>
      </c>
      <c r="H276" s="208">
        <v>42808</v>
      </c>
      <c r="I276" s="90">
        <v>0</v>
      </c>
      <c r="J276" s="90">
        <f t="shared" si="8"/>
        <v>288</v>
      </c>
      <c r="K276" s="90" t="str">
        <f t="shared" si="7"/>
        <v>ATRASADO</v>
      </c>
    </row>
    <row r="277" spans="2:11" ht="24.75">
      <c r="B277" s="10">
        <v>42808</v>
      </c>
      <c r="C277" s="17">
        <v>11500137601</v>
      </c>
      <c r="D277" s="13" t="s">
        <v>103</v>
      </c>
      <c r="E277" s="19" t="s">
        <v>104</v>
      </c>
      <c r="F277" s="60">
        <v>2217</v>
      </c>
      <c r="G277" s="32">
        <v>1500</v>
      </c>
      <c r="H277" s="208">
        <v>42808</v>
      </c>
      <c r="I277" s="90">
        <v>0</v>
      </c>
      <c r="J277" s="90">
        <f t="shared" si="8"/>
        <v>1500</v>
      </c>
      <c r="K277" s="90" t="str">
        <f t="shared" si="7"/>
        <v>ATRASADO</v>
      </c>
    </row>
    <row r="278" spans="2:11" ht="24.75">
      <c r="B278" s="10">
        <v>42809</v>
      </c>
      <c r="C278" s="17">
        <v>11500137672</v>
      </c>
      <c r="D278" s="13" t="s">
        <v>103</v>
      </c>
      <c r="E278" s="19" t="s">
        <v>104</v>
      </c>
      <c r="F278" s="60">
        <v>2217</v>
      </c>
      <c r="G278" s="32">
        <v>347</v>
      </c>
      <c r="H278" s="208">
        <v>42809</v>
      </c>
      <c r="I278" s="90">
        <v>0</v>
      </c>
      <c r="J278" s="90">
        <f t="shared" si="8"/>
        <v>347</v>
      </c>
      <c r="K278" s="90" t="str">
        <f t="shared" si="7"/>
        <v>ATRASADO</v>
      </c>
    </row>
    <row r="279" spans="2:11" ht="24.75">
      <c r="B279" s="10">
        <v>42865</v>
      </c>
      <c r="C279" s="17">
        <v>11500139920</v>
      </c>
      <c r="D279" s="13" t="s">
        <v>103</v>
      </c>
      <c r="E279" s="19" t="s">
        <v>104</v>
      </c>
      <c r="F279" s="60">
        <v>2217</v>
      </c>
      <c r="G279" s="32">
        <v>1500</v>
      </c>
      <c r="H279" s="208">
        <v>42865</v>
      </c>
      <c r="I279" s="90">
        <v>0</v>
      </c>
      <c r="J279" s="90">
        <f t="shared" si="8"/>
        <v>1500</v>
      </c>
      <c r="K279" s="90" t="str">
        <f t="shared" si="7"/>
        <v>ATRASADO</v>
      </c>
    </row>
    <row r="280" spans="2:11" ht="24.75">
      <c r="B280" s="10">
        <v>42865</v>
      </c>
      <c r="C280" s="17">
        <v>11500139984</v>
      </c>
      <c r="D280" s="13" t="s">
        <v>103</v>
      </c>
      <c r="E280" s="19" t="s">
        <v>104</v>
      </c>
      <c r="F280" s="60">
        <v>2217</v>
      </c>
      <c r="G280" s="32">
        <v>720</v>
      </c>
      <c r="H280" s="208">
        <v>42865</v>
      </c>
      <c r="I280" s="90">
        <v>0</v>
      </c>
      <c r="J280" s="90">
        <f t="shared" si="8"/>
        <v>720</v>
      </c>
      <c r="K280" s="90" t="str">
        <f t="shared" si="7"/>
        <v>ATRASADO</v>
      </c>
    </row>
    <row r="281" spans="2:11" ht="24.75">
      <c r="B281" s="10">
        <v>42867</v>
      </c>
      <c r="C281" s="17">
        <v>11500140072</v>
      </c>
      <c r="D281" s="13" t="s">
        <v>103</v>
      </c>
      <c r="E281" s="19" t="s">
        <v>104</v>
      </c>
      <c r="F281" s="60">
        <v>2217</v>
      </c>
      <c r="G281" s="32">
        <v>12840</v>
      </c>
      <c r="H281" s="208">
        <v>42867</v>
      </c>
      <c r="I281" s="90">
        <v>0</v>
      </c>
      <c r="J281" s="90">
        <f t="shared" si="8"/>
        <v>12840</v>
      </c>
      <c r="K281" s="90" t="str">
        <f t="shared" si="7"/>
        <v>ATRASADO</v>
      </c>
    </row>
    <row r="282" spans="2:11" ht="24.75">
      <c r="B282" s="10">
        <v>42867</v>
      </c>
      <c r="C282" s="17">
        <v>11500140075</v>
      </c>
      <c r="D282" s="13" t="s">
        <v>103</v>
      </c>
      <c r="E282" s="19" t="s">
        <v>104</v>
      </c>
      <c r="F282" s="60">
        <v>2217</v>
      </c>
      <c r="G282" s="32">
        <v>288</v>
      </c>
      <c r="H282" s="208">
        <v>42867</v>
      </c>
      <c r="I282" s="90">
        <v>0</v>
      </c>
      <c r="J282" s="90">
        <f t="shared" si="8"/>
        <v>288</v>
      </c>
      <c r="K282" s="90" t="str">
        <f t="shared" si="7"/>
        <v>ATRASADO</v>
      </c>
    </row>
    <row r="283" spans="2:11" ht="24.75">
      <c r="B283" s="10">
        <v>42867</v>
      </c>
      <c r="C283" s="17">
        <v>11500140168</v>
      </c>
      <c r="D283" s="13" t="s">
        <v>103</v>
      </c>
      <c r="E283" s="19" t="s">
        <v>104</v>
      </c>
      <c r="F283" s="60">
        <v>2217</v>
      </c>
      <c r="G283" s="32">
        <v>355</v>
      </c>
      <c r="H283" s="208">
        <v>42867</v>
      </c>
      <c r="I283" s="90">
        <v>0</v>
      </c>
      <c r="J283" s="90">
        <f t="shared" si="8"/>
        <v>355</v>
      </c>
      <c r="K283" s="90" t="str">
        <f t="shared" si="7"/>
        <v>ATRASADO</v>
      </c>
    </row>
    <row r="284" spans="2:11" ht="24.75">
      <c r="B284" s="10">
        <v>42895</v>
      </c>
      <c r="C284" s="17">
        <v>11500141274</v>
      </c>
      <c r="D284" s="13" t="s">
        <v>103</v>
      </c>
      <c r="E284" s="19" t="s">
        <v>104</v>
      </c>
      <c r="F284" s="60">
        <v>2217</v>
      </c>
      <c r="G284" s="32">
        <v>720</v>
      </c>
      <c r="H284" s="208">
        <v>42895</v>
      </c>
      <c r="I284" s="90">
        <v>0</v>
      </c>
      <c r="J284" s="90">
        <f t="shared" si="8"/>
        <v>720</v>
      </c>
      <c r="K284" s="90" t="str">
        <f t="shared" si="7"/>
        <v>ATRASADO</v>
      </c>
    </row>
    <row r="285" spans="2:11" ht="24.75">
      <c r="B285" s="11">
        <v>40543</v>
      </c>
      <c r="C285" s="16" t="s">
        <v>277</v>
      </c>
      <c r="D285" s="13" t="s">
        <v>103</v>
      </c>
      <c r="E285" s="19" t="s">
        <v>278</v>
      </c>
      <c r="F285" s="60">
        <v>2217</v>
      </c>
      <c r="G285" s="32">
        <v>50807.89</v>
      </c>
      <c r="H285" s="87">
        <v>40543</v>
      </c>
      <c r="I285" s="90">
        <v>0</v>
      </c>
      <c r="J285" s="90">
        <f t="shared" si="8"/>
        <v>50807.89</v>
      </c>
      <c r="K285" s="90" t="str">
        <f t="shared" si="7"/>
        <v>ATRASADO</v>
      </c>
    </row>
    <row r="286" spans="2:11" ht="24.75">
      <c r="B286" s="10">
        <v>40967</v>
      </c>
      <c r="C286" s="16" t="s">
        <v>277</v>
      </c>
      <c r="D286" s="13" t="s">
        <v>103</v>
      </c>
      <c r="E286" s="19" t="s">
        <v>278</v>
      </c>
      <c r="F286" s="60">
        <v>2217</v>
      </c>
      <c r="G286" s="32">
        <v>28392.510000000002</v>
      </c>
      <c r="H286" s="208">
        <v>40967</v>
      </c>
      <c r="I286" s="90">
        <v>0</v>
      </c>
      <c r="J286" s="90">
        <f t="shared" si="8"/>
        <v>28392.510000000002</v>
      </c>
      <c r="K286" s="90" t="str">
        <f t="shared" si="7"/>
        <v>ATRASADO</v>
      </c>
    </row>
    <row r="287" spans="2:11" ht="36.75">
      <c r="B287" s="10">
        <v>40999</v>
      </c>
      <c r="C287" s="16" t="s">
        <v>279</v>
      </c>
      <c r="D287" s="13" t="s">
        <v>103</v>
      </c>
      <c r="E287" s="19" t="s">
        <v>278</v>
      </c>
      <c r="F287" s="60">
        <v>2217</v>
      </c>
      <c r="G287" s="32">
        <v>16497</v>
      </c>
      <c r="H287" s="208">
        <v>40999</v>
      </c>
      <c r="I287" s="90">
        <v>0</v>
      </c>
      <c r="J287" s="90">
        <f t="shared" si="8"/>
        <v>16497</v>
      </c>
      <c r="K287" s="90" t="str">
        <f t="shared" si="7"/>
        <v>ATRASADO</v>
      </c>
    </row>
    <row r="288" spans="2:11" ht="24.75">
      <c r="B288" s="10">
        <v>41029</v>
      </c>
      <c r="C288" s="16" t="s">
        <v>280</v>
      </c>
      <c r="D288" s="13" t="s">
        <v>103</v>
      </c>
      <c r="E288" s="19" t="s">
        <v>278</v>
      </c>
      <c r="F288" s="60">
        <v>2217</v>
      </c>
      <c r="G288" s="32">
        <v>14628</v>
      </c>
      <c r="H288" s="208">
        <v>41029</v>
      </c>
      <c r="I288" s="90">
        <v>0</v>
      </c>
      <c r="J288" s="90">
        <f t="shared" si="8"/>
        <v>14628</v>
      </c>
      <c r="K288" s="90" t="str">
        <f t="shared" si="7"/>
        <v>ATRASADO</v>
      </c>
    </row>
    <row r="289" spans="2:11" ht="24.75">
      <c r="B289" s="10">
        <v>41060</v>
      </c>
      <c r="C289" s="16" t="s">
        <v>281</v>
      </c>
      <c r="D289" s="13" t="s">
        <v>103</v>
      </c>
      <c r="E289" s="19" t="s">
        <v>278</v>
      </c>
      <c r="F289" s="60">
        <v>2217</v>
      </c>
      <c r="G289" s="32">
        <v>14628</v>
      </c>
      <c r="H289" s="208">
        <v>41060</v>
      </c>
      <c r="I289" s="90">
        <v>0</v>
      </c>
      <c r="J289" s="90">
        <f t="shared" si="8"/>
        <v>14628</v>
      </c>
      <c r="K289" s="90" t="str">
        <f t="shared" si="7"/>
        <v>ATRASADO</v>
      </c>
    </row>
    <row r="290" spans="2:11" ht="24.75">
      <c r="B290" s="10">
        <v>41081</v>
      </c>
      <c r="C290" s="16">
        <v>1500068495</v>
      </c>
      <c r="D290" s="13" t="s">
        <v>103</v>
      </c>
      <c r="E290" s="19" t="s">
        <v>278</v>
      </c>
      <c r="F290" s="60">
        <v>2217</v>
      </c>
      <c r="G290" s="32">
        <v>1788</v>
      </c>
      <c r="H290" s="208">
        <v>41081</v>
      </c>
      <c r="I290" s="90">
        <v>0</v>
      </c>
      <c r="J290" s="90">
        <f t="shared" si="8"/>
        <v>1788</v>
      </c>
      <c r="K290" s="90" t="str">
        <f t="shared" si="7"/>
        <v>ATRASADO</v>
      </c>
    </row>
    <row r="291" spans="2:11" ht="24.75">
      <c r="B291" s="10">
        <v>41090</v>
      </c>
      <c r="C291" s="16">
        <v>1500069649</v>
      </c>
      <c r="D291" s="13" t="s">
        <v>103</v>
      </c>
      <c r="E291" s="19" t="s">
        <v>278</v>
      </c>
      <c r="F291" s="60">
        <v>2217</v>
      </c>
      <c r="G291" s="32">
        <v>1500</v>
      </c>
      <c r="H291" s="208">
        <v>41090</v>
      </c>
      <c r="I291" s="90">
        <v>0</v>
      </c>
      <c r="J291" s="90">
        <f t="shared" si="8"/>
        <v>1500</v>
      </c>
      <c r="K291" s="90" t="str">
        <f t="shared" si="7"/>
        <v>ATRASADO</v>
      </c>
    </row>
    <row r="292" spans="2:11" ht="24.75">
      <c r="B292" s="10" t="s">
        <v>283</v>
      </c>
      <c r="C292" s="16" t="s">
        <v>282</v>
      </c>
      <c r="D292" s="13" t="s">
        <v>103</v>
      </c>
      <c r="E292" s="19" t="s">
        <v>278</v>
      </c>
      <c r="F292" s="60">
        <v>2217</v>
      </c>
      <c r="G292" s="32">
        <v>15057</v>
      </c>
      <c r="H292" s="208">
        <v>41121</v>
      </c>
      <c r="I292" s="90">
        <v>0</v>
      </c>
      <c r="J292" s="90">
        <f t="shared" si="8"/>
        <v>15057</v>
      </c>
      <c r="K292" s="90" t="str">
        <f t="shared" si="7"/>
        <v>ATRASADO</v>
      </c>
    </row>
    <row r="293" spans="2:11" ht="24.75">
      <c r="B293" s="10">
        <v>41486</v>
      </c>
      <c r="C293" s="16">
        <v>102719411</v>
      </c>
      <c r="D293" s="13" t="s">
        <v>103</v>
      </c>
      <c r="E293" s="19" t="s">
        <v>278</v>
      </c>
      <c r="F293" s="60">
        <v>2217</v>
      </c>
      <c r="G293" s="32">
        <v>1209</v>
      </c>
      <c r="H293" s="208">
        <v>41486</v>
      </c>
      <c r="I293" s="90">
        <v>0</v>
      </c>
      <c r="J293" s="90">
        <f t="shared" si="8"/>
        <v>1209</v>
      </c>
      <c r="K293" s="90" t="str">
        <f t="shared" si="7"/>
        <v>ATRASADO</v>
      </c>
    </row>
    <row r="294" spans="2:11" ht="24.75">
      <c r="B294" s="10">
        <v>41486</v>
      </c>
      <c r="C294" s="16">
        <v>1500070544</v>
      </c>
      <c r="D294" s="13" t="s">
        <v>103</v>
      </c>
      <c r="E294" s="19" t="s">
        <v>278</v>
      </c>
      <c r="F294" s="60">
        <v>2217</v>
      </c>
      <c r="G294" s="32">
        <v>720</v>
      </c>
      <c r="H294" s="208">
        <v>41486</v>
      </c>
      <c r="I294" s="90">
        <v>0</v>
      </c>
      <c r="J294" s="90">
        <f t="shared" si="8"/>
        <v>720</v>
      </c>
      <c r="K294" s="90" t="str">
        <f t="shared" si="7"/>
        <v>ATRASADO</v>
      </c>
    </row>
    <row r="295" spans="2:11" ht="24.75">
      <c r="B295" s="10">
        <v>41486</v>
      </c>
      <c r="C295" s="16">
        <v>1500070748</v>
      </c>
      <c r="D295" s="13" t="s">
        <v>103</v>
      </c>
      <c r="E295" s="19" t="s">
        <v>278</v>
      </c>
      <c r="F295" s="60">
        <v>2217</v>
      </c>
      <c r="G295" s="32">
        <v>288</v>
      </c>
      <c r="H295" s="208">
        <v>41486</v>
      </c>
      <c r="I295" s="90">
        <v>0</v>
      </c>
      <c r="J295" s="90">
        <f t="shared" si="8"/>
        <v>288</v>
      </c>
      <c r="K295" s="90" t="str">
        <f t="shared" si="7"/>
        <v>ATRASADO</v>
      </c>
    </row>
    <row r="296" spans="2:11" ht="24.75">
      <c r="B296" s="10">
        <v>41486</v>
      </c>
      <c r="C296" s="16">
        <v>1500070731</v>
      </c>
      <c r="D296" s="13" t="s">
        <v>103</v>
      </c>
      <c r="E296" s="19" t="s">
        <v>278</v>
      </c>
      <c r="F296" s="60">
        <v>2217</v>
      </c>
      <c r="G296" s="32">
        <v>12840</v>
      </c>
      <c r="H296" s="208">
        <v>41486</v>
      </c>
      <c r="I296" s="90">
        <v>0</v>
      </c>
      <c r="J296" s="90">
        <f t="shared" si="8"/>
        <v>12840</v>
      </c>
      <c r="K296" s="90" t="str">
        <f t="shared" si="7"/>
        <v>ATRASADO</v>
      </c>
    </row>
    <row r="297" spans="2:11" ht="24.75">
      <c r="B297" s="10">
        <v>42398</v>
      </c>
      <c r="C297" s="16">
        <v>1500120346</v>
      </c>
      <c r="D297" s="13" t="s">
        <v>103</v>
      </c>
      <c r="E297" s="19" t="s">
        <v>278</v>
      </c>
      <c r="F297" s="60">
        <v>2217</v>
      </c>
      <c r="G297" s="32">
        <v>386</v>
      </c>
      <c r="H297" s="208">
        <v>42398</v>
      </c>
      <c r="I297" s="90">
        <v>0</v>
      </c>
      <c r="J297" s="90">
        <f t="shared" si="8"/>
        <v>386</v>
      </c>
      <c r="K297" s="90" t="str">
        <f t="shared" si="7"/>
        <v>ATRASADO</v>
      </c>
    </row>
    <row r="298" spans="2:11" ht="24.75">
      <c r="B298" s="10">
        <v>42425</v>
      </c>
      <c r="C298" s="16">
        <v>1500121593</v>
      </c>
      <c r="D298" s="13" t="s">
        <v>103</v>
      </c>
      <c r="E298" s="19" t="s">
        <v>278</v>
      </c>
      <c r="F298" s="60">
        <v>2217</v>
      </c>
      <c r="G298" s="32">
        <v>386</v>
      </c>
      <c r="H298" s="208">
        <v>42425</v>
      </c>
      <c r="I298" s="90">
        <v>0</v>
      </c>
      <c r="J298" s="90">
        <f t="shared" si="8"/>
        <v>386</v>
      </c>
      <c r="K298" s="90" t="str">
        <f t="shared" si="7"/>
        <v>ATRASADO</v>
      </c>
    </row>
    <row r="299" spans="2:11" ht="24.75">
      <c r="B299" s="10">
        <v>42458</v>
      </c>
      <c r="C299" s="16">
        <v>1500122825</v>
      </c>
      <c r="D299" s="13" t="s">
        <v>103</v>
      </c>
      <c r="E299" s="19" t="s">
        <v>278</v>
      </c>
      <c r="F299" s="60">
        <v>2217</v>
      </c>
      <c r="G299" s="32">
        <v>388</v>
      </c>
      <c r="H299" s="208">
        <v>42458</v>
      </c>
      <c r="I299" s="90">
        <v>0</v>
      </c>
      <c r="J299" s="90">
        <f t="shared" si="8"/>
        <v>388</v>
      </c>
      <c r="K299" s="90" t="str">
        <f t="shared" ref="K299:K362" si="9">IF(J299&gt;0,"ATRASADO","")</f>
        <v>ATRASADO</v>
      </c>
    </row>
    <row r="300" spans="2:11" ht="24.75">
      <c r="B300" s="10">
        <v>42487</v>
      </c>
      <c r="C300" s="16">
        <v>1500124072</v>
      </c>
      <c r="D300" s="13" t="s">
        <v>103</v>
      </c>
      <c r="E300" s="19" t="s">
        <v>278</v>
      </c>
      <c r="F300" s="60">
        <v>2217</v>
      </c>
      <c r="G300" s="32">
        <v>392</v>
      </c>
      <c r="H300" s="208">
        <v>42487</v>
      </c>
      <c r="I300" s="90">
        <v>0</v>
      </c>
      <c r="J300" s="90">
        <f t="shared" si="8"/>
        <v>392</v>
      </c>
      <c r="K300" s="90" t="str">
        <f t="shared" si="9"/>
        <v>ATRASADO</v>
      </c>
    </row>
    <row r="301" spans="2:11" ht="24.75">
      <c r="B301" s="10">
        <v>42549</v>
      </c>
      <c r="C301" s="16">
        <v>1500126555</v>
      </c>
      <c r="D301" s="13" t="s">
        <v>103</v>
      </c>
      <c r="E301" s="19" t="s">
        <v>278</v>
      </c>
      <c r="F301" s="60">
        <v>2217</v>
      </c>
      <c r="G301" s="32">
        <v>396</v>
      </c>
      <c r="H301" s="208">
        <v>42549</v>
      </c>
      <c r="I301" s="90">
        <v>0</v>
      </c>
      <c r="J301" s="90">
        <f t="shared" si="8"/>
        <v>396</v>
      </c>
      <c r="K301" s="90" t="str">
        <f t="shared" si="9"/>
        <v>ATRASADO</v>
      </c>
    </row>
    <row r="302" spans="2:11" ht="24.75">
      <c r="B302" s="10">
        <v>42578</v>
      </c>
      <c r="C302" s="16">
        <v>1500127799</v>
      </c>
      <c r="D302" s="13" t="s">
        <v>103</v>
      </c>
      <c r="E302" s="19" t="s">
        <v>278</v>
      </c>
      <c r="F302" s="60">
        <v>2217</v>
      </c>
      <c r="G302" s="32">
        <v>398</v>
      </c>
      <c r="H302" s="208">
        <v>42578</v>
      </c>
      <c r="I302" s="90">
        <v>0</v>
      </c>
      <c r="J302" s="90">
        <f t="shared" si="8"/>
        <v>398</v>
      </c>
      <c r="K302" s="90" t="str">
        <f t="shared" si="9"/>
        <v>ATRASADO</v>
      </c>
    </row>
    <row r="303" spans="2:11" ht="24.75">
      <c r="B303" s="10">
        <v>42611</v>
      </c>
      <c r="C303" s="16">
        <v>1500129045</v>
      </c>
      <c r="D303" s="13" t="s">
        <v>103</v>
      </c>
      <c r="E303" s="19" t="s">
        <v>278</v>
      </c>
      <c r="F303" s="60">
        <v>2217</v>
      </c>
      <c r="G303" s="32">
        <v>398</v>
      </c>
      <c r="H303" s="208">
        <v>42611</v>
      </c>
      <c r="I303" s="90">
        <v>0</v>
      </c>
      <c r="J303" s="90">
        <f t="shared" si="8"/>
        <v>398</v>
      </c>
      <c r="K303" s="90" t="str">
        <f t="shared" si="9"/>
        <v>ATRASADO</v>
      </c>
    </row>
    <row r="304" spans="2:11" ht="24.75">
      <c r="B304" s="10">
        <v>42641</v>
      </c>
      <c r="C304" s="16">
        <v>1500130289</v>
      </c>
      <c r="D304" s="13" t="s">
        <v>103</v>
      </c>
      <c r="E304" s="19" t="s">
        <v>278</v>
      </c>
      <c r="F304" s="60">
        <v>2217</v>
      </c>
      <c r="G304" s="32">
        <v>402</v>
      </c>
      <c r="H304" s="208">
        <v>42641</v>
      </c>
      <c r="I304" s="90">
        <v>0</v>
      </c>
      <c r="J304" s="90">
        <f t="shared" si="8"/>
        <v>402</v>
      </c>
      <c r="K304" s="90" t="str">
        <f t="shared" si="9"/>
        <v>ATRASADO</v>
      </c>
    </row>
    <row r="305" spans="2:11" ht="24.75">
      <c r="B305" s="10">
        <v>42670</v>
      </c>
      <c r="C305" s="16">
        <v>1500131513</v>
      </c>
      <c r="D305" s="13" t="s">
        <v>103</v>
      </c>
      <c r="E305" s="19" t="s">
        <v>278</v>
      </c>
      <c r="F305" s="60">
        <v>2217</v>
      </c>
      <c r="G305" s="32">
        <v>402</v>
      </c>
      <c r="H305" s="208">
        <v>42670</v>
      </c>
      <c r="I305" s="90">
        <v>0</v>
      </c>
      <c r="J305" s="90">
        <f t="shared" si="8"/>
        <v>402</v>
      </c>
      <c r="K305" s="90" t="str">
        <f t="shared" si="9"/>
        <v>ATRASADO</v>
      </c>
    </row>
    <row r="306" spans="2:11" ht="24.75">
      <c r="B306" s="10">
        <v>42732</v>
      </c>
      <c r="C306" s="16">
        <v>1500134024</v>
      </c>
      <c r="D306" s="13" t="s">
        <v>103</v>
      </c>
      <c r="E306" s="19" t="s">
        <v>278</v>
      </c>
      <c r="F306" s="60">
        <v>2217</v>
      </c>
      <c r="G306" s="32">
        <v>402</v>
      </c>
      <c r="H306" s="208">
        <v>42732</v>
      </c>
      <c r="I306" s="90">
        <v>0</v>
      </c>
      <c r="J306" s="90">
        <f t="shared" si="8"/>
        <v>402</v>
      </c>
      <c r="K306" s="90" t="str">
        <f t="shared" si="9"/>
        <v>ATRASADO</v>
      </c>
    </row>
    <row r="307" spans="2:11" ht="24.75">
      <c r="B307" s="10">
        <v>42761</v>
      </c>
      <c r="C307" s="16">
        <v>1500135280</v>
      </c>
      <c r="D307" s="13" t="s">
        <v>103</v>
      </c>
      <c r="E307" s="19" t="s">
        <v>278</v>
      </c>
      <c r="F307" s="60">
        <v>2217</v>
      </c>
      <c r="G307" s="32">
        <v>402</v>
      </c>
      <c r="H307" s="208">
        <v>42761</v>
      </c>
      <c r="I307" s="90">
        <v>0</v>
      </c>
      <c r="J307" s="90">
        <f t="shared" si="8"/>
        <v>402</v>
      </c>
      <c r="K307" s="90" t="str">
        <f t="shared" si="9"/>
        <v>ATRASADO</v>
      </c>
    </row>
    <row r="308" spans="2:11" ht="24.75">
      <c r="B308" s="10">
        <v>42774</v>
      </c>
      <c r="C308" s="16">
        <v>1500135955</v>
      </c>
      <c r="D308" s="13" t="s">
        <v>103</v>
      </c>
      <c r="E308" s="19" t="s">
        <v>278</v>
      </c>
      <c r="F308" s="60">
        <v>2217</v>
      </c>
      <c r="G308" s="32">
        <v>404</v>
      </c>
      <c r="H308" s="208">
        <v>42774</v>
      </c>
      <c r="I308" s="90">
        <v>0</v>
      </c>
      <c r="J308" s="90">
        <f t="shared" si="8"/>
        <v>404</v>
      </c>
      <c r="K308" s="90" t="str">
        <f t="shared" si="9"/>
        <v>ATRASADO</v>
      </c>
    </row>
    <row r="309" spans="2:11" ht="24.75">
      <c r="B309" s="10">
        <v>42803</v>
      </c>
      <c r="C309" s="16">
        <v>1500137270</v>
      </c>
      <c r="D309" s="13" t="s">
        <v>103</v>
      </c>
      <c r="E309" s="19" t="s">
        <v>278</v>
      </c>
      <c r="F309" s="60">
        <v>2217</v>
      </c>
      <c r="G309" s="32">
        <v>394</v>
      </c>
      <c r="H309" s="208">
        <v>42803</v>
      </c>
      <c r="I309" s="90">
        <v>0</v>
      </c>
      <c r="J309" s="90">
        <f t="shared" si="8"/>
        <v>394</v>
      </c>
      <c r="K309" s="90" t="str">
        <f t="shared" si="9"/>
        <v>ATRASADO</v>
      </c>
    </row>
    <row r="310" spans="2:11" ht="24.75">
      <c r="B310" s="10">
        <v>42837</v>
      </c>
      <c r="C310" s="16">
        <v>1500138948</v>
      </c>
      <c r="D310" s="13" t="s">
        <v>103</v>
      </c>
      <c r="E310" s="19" t="s">
        <v>278</v>
      </c>
      <c r="F310" s="60">
        <v>2217</v>
      </c>
      <c r="G310" s="32">
        <v>398</v>
      </c>
      <c r="H310" s="208">
        <v>42837</v>
      </c>
      <c r="I310" s="90">
        <v>0</v>
      </c>
      <c r="J310" s="90">
        <f t="shared" si="8"/>
        <v>398</v>
      </c>
      <c r="K310" s="90" t="str">
        <f t="shared" si="9"/>
        <v>ATRASADO</v>
      </c>
    </row>
    <row r="311" spans="2:11" ht="24.75">
      <c r="B311" s="10">
        <v>42866</v>
      </c>
      <c r="C311" s="16">
        <v>1500140011</v>
      </c>
      <c r="D311" s="13" t="s">
        <v>103</v>
      </c>
      <c r="E311" s="19" t="s">
        <v>278</v>
      </c>
      <c r="F311" s="60">
        <v>2217</v>
      </c>
      <c r="G311" s="32">
        <v>400</v>
      </c>
      <c r="H311" s="208">
        <v>42866</v>
      </c>
      <c r="I311" s="90">
        <v>0</v>
      </c>
      <c r="J311" s="90">
        <f t="shared" si="8"/>
        <v>400</v>
      </c>
      <c r="K311" s="90" t="str">
        <f t="shared" si="9"/>
        <v>ATRASADO</v>
      </c>
    </row>
    <row r="312" spans="2:11" ht="24.75">
      <c r="B312" s="10">
        <v>42926</v>
      </c>
      <c r="C312" s="16">
        <v>1500142442</v>
      </c>
      <c r="D312" s="13" t="s">
        <v>103</v>
      </c>
      <c r="E312" s="19" t="s">
        <v>278</v>
      </c>
      <c r="F312" s="60">
        <v>2217</v>
      </c>
      <c r="G312" s="32">
        <v>404</v>
      </c>
      <c r="H312" s="208">
        <v>42926</v>
      </c>
      <c r="I312" s="90">
        <v>0</v>
      </c>
      <c r="J312" s="90">
        <f t="shared" si="8"/>
        <v>404</v>
      </c>
      <c r="K312" s="90" t="str">
        <f t="shared" si="9"/>
        <v>ATRASADO</v>
      </c>
    </row>
    <row r="313" spans="2:11" ht="24.75">
      <c r="B313" s="10">
        <v>43048</v>
      </c>
      <c r="C313" s="16">
        <v>1500147577</v>
      </c>
      <c r="D313" s="13" t="s">
        <v>103</v>
      </c>
      <c r="E313" s="19" t="s">
        <v>278</v>
      </c>
      <c r="F313" s="60">
        <v>2217</v>
      </c>
      <c r="G313" s="32">
        <v>404</v>
      </c>
      <c r="H313" s="208">
        <v>43048</v>
      </c>
      <c r="I313" s="90">
        <v>0</v>
      </c>
      <c r="J313" s="90">
        <f t="shared" si="8"/>
        <v>404</v>
      </c>
      <c r="K313" s="90" t="str">
        <f t="shared" si="9"/>
        <v>ATRASADO</v>
      </c>
    </row>
    <row r="314" spans="2:11" ht="24.75">
      <c r="B314" s="10">
        <v>43040</v>
      </c>
      <c r="C314" s="16">
        <v>1500146339</v>
      </c>
      <c r="D314" s="13" t="s">
        <v>103</v>
      </c>
      <c r="E314" s="19" t="s">
        <v>278</v>
      </c>
      <c r="F314" s="60">
        <v>2217</v>
      </c>
      <c r="G314" s="32">
        <v>720</v>
      </c>
      <c r="H314" s="208">
        <v>43040</v>
      </c>
      <c r="I314" s="90">
        <v>0</v>
      </c>
      <c r="J314" s="90">
        <f t="shared" si="8"/>
        <v>720</v>
      </c>
      <c r="K314" s="90" t="str">
        <f t="shared" si="9"/>
        <v>ATRASADO</v>
      </c>
    </row>
    <row r="315" spans="2:11" ht="24.75">
      <c r="B315" s="10">
        <v>43040</v>
      </c>
      <c r="C315" s="16">
        <v>1500146406</v>
      </c>
      <c r="D315" s="13" t="s">
        <v>103</v>
      </c>
      <c r="E315" s="19" t="s">
        <v>278</v>
      </c>
      <c r="F315" s="60">
        <v>2217</v>
      </c>
      <c r="G315" s="32">
        <v>12840</v>
      </c>
      <c r="H315" s="208">
        <v>43040</v>
      </c>
      <c r="I315" s="90">
        <v>0</v>
      </c>
      <c r="J315" s="90">
        <f t="shared" si="8"/>
        <v>12840</v>
      </c>
      <c r="K315" s="90" t="str">
        <f t="shared" si="9"/>
        <v>ATRASADO</v>
      </c>
    </row>
    <row r="316" spans="2:11" ht="24.75">
      <c r="B316" s="10">
        <v>43040</v>
      </c>
      <c r="C316" s="16">
        <v>1500146408</v>
      </c>
      <c r="D316" s="13" t="s">
        <v>103</v>
      </c>
      <c r="E316" s="19" t="s">
        <v>278</v>
      </c>
      <c r="F316" s="60">
        <v>2217</v>
      </c>
      <c r="G316" s="32">
        <v>288</v>
      </c>
      <c r="H316" s="208">
        <v>43040</v>
      </c>
      <c r="I316" s="90">
        <v>0</v>
      </c>
      <c r="J316" s="90">
        <f t="shared" si="8"/>
        <v>288</v>
      </c>
      <c r="K316" s="90" t="str">
        <f t="shared" si="9"/>
        <v>ATRASADO</v>
      </c>
    </row>
    <row r="317" spans="2:11" ht="24.75">
      <c r="B317" s="10">
        <v>43040</v>
      </c>
      <c r="C317" s="16">
        <v>1500146447</v>
      </c>
      <c r="D317" s="13" t="s">
        <v>103</v>
      </c>
      <c r="E317" s="19" t="s">
        <v>278</v>
      </c>
      <c r="F317" s="60">
        <v>2217</v>
      </c>
      <c r="G317" s="32">
        <v>1850</v>
      </c>
      <c r="H317" s="208">
        <v>43040</v>
      </c>
      <c r="I317" s="90">
        <v>0</v>
      </c>
      <c r="J317" s="90">
        <f t="shared" si="8"/>
        <v>1850</v>
      </c>
      <c r="K317" s="90" t="str">
        <f t="shared" si="9"/>
        <v>ATRASADO</v>
      </c>
    </row>
    <row r="318" spans="2:11" ht="24.75">
      <c r="B318" s="10">
        <v>43040</v>
      </c>
      <c r="C318" s="16">
        <v>1500146558</v>
      </c>
      <c r="D318" s="13" t="s">
        <v>103</v>
      </c>
      <c r="E318" s="19" t="s">
        <v>278</v>
      </c>
      <c r="F318" s="60">
        <v>2217</v>
      </c>
      <c r="G318" s="32">
        <v>367</v>
      </c>
      <c r="H318" s="208">
        <v>43040</v>
      </c>
      <c r="I318" s="90">
        <v>0</v>
      </c>
      <c r="J318" s="90">
        <f t="shared" si="8"/>
        <v>367</v>
      </c>
      <c r="K318" s="90" t="str">
        <f t="shared" si="9"/>
        <v>ATRASADO</v>
      </c>
    </row>
    <row r="319" spans="2:11" ht="24.75">
      <c r="B319" s="10">
        <v>43070</v>
      </c>
      <c r="C319" s="16">
        <v>15001427723</v>
      </c>
      <c r="D319" s="13" t="s">
        <v>103</v>
      </c>
      <c r="E319" s="19" t="s">
        <v>278</v>
      </c>
      <c r="F319" s="60">
        <v>2217</v>
      </c>
      <c r="G319" s="32">
        <v>720</v>
      </c>
      <c r="H319" s="208">
        <v>43070</v>
      </c>
      <c r="I319" s="90">
        <v>0</v>
      </c>
      <c r="J319" s="90">
        <f t="shared" si="8"/>
        <v>720</v>
      </c>
      <c r="K319" s="90" t="str">
        <f t="shared" si="9"/>
        <v>ATRASADO</v>
      </c>
    </row>
    <row r="320" spans="2:11" ht="24.75">
      <c r="B320" s="10">
        <v>43070</v>
      </c>
      <c r="C320" s="16">
        <v>1500147756</v>
      </c>
      <c r="D320" s="13" t="s">
        <v>103</v>
      </c>
      <c r="E320" s="19" t="s">
        <v>278</v>
      </c>
      <c r="F320" s="60">
        <v>2217</v>
      </c>
      <c r="G320" s="32">
        <v>12840</v>
      </c>
      <c r="H320" s="208">
        <v>43070</v>
      </c>
      <c r="I320" s="90">
        <v>0</v>
      </c>
      <c r="J320" s="90">
        <f t="shared" si="8"/>
        <v>12840</v>
      </c>
      <c r="K320" s="90" t="str">
        <f t="shared" si="9"/>
        <v>ATRASADO</v>
      </c>
    </row>
    <row r="321" spans="2:11" ht="24.75">
      <c r="B321" s="10">
        <v>43070</v>
      </c>
      <c r="C321" s="16">
        <v>1500147758</v>
      </c>
      <c r="D321" s="13" t="s">
        <v>103</v>
      </c>
      <c r="E321" s="19" t="s">
        <v>278</v>
      </c>
      <c r="F321" s="60">
        <v>2217</v>
      </c>
      <c r="G321" s="32">
        <v>288</v>
      </c>
      <c r="H321" s="208">
        <v>43070</v>
      </c>
      <c r="I321" s="90">
        <v>0</v>
      </c>
      <c r="J321" s="90">
        <f t="shared" si="8"/>
        <v>288</v>
      </c>
      <c r="K321" s="90" t="str">
        <f t="shared" si="9"/>
        <v>ATRASADO</v>
      </c>
    </row>
    <row r="322" spans="2:11" ht="24.75">
      <c r="B322" s="10">
        <v>43070</v>
      </c>
      <c r="C322" s="16">
        <v>1500147797</v>
      </c>
      <c r="D322" s="13" t="s">
        <v>103</v>
      </c>
      <c r="E322" s="19" t="s">
        <v>278</v>
      </c>
      <c r="F322" s="60">
        <v>2217</v>
      </c>
      <c r="G322" s="32">
        <v>1850</v>
      </c>
      <c r="H322" s="208">
        <v>43070</v>
      </c>
      <c r="I322" s="90">
        <v>0</v>
      </c>
      <c r="J322" s="90">
        <f t="shared" si="8"/>
        <v>1850</v>
      </c>
      <c r="K322" s="90" t="str">
        <f t="shared" si="9"/>
        <v>ATRASADO</v>
      </c>
    </row>
    <row r="323" spans="2:11" ht="24.75">
      <c r="B323" s="10">
        <v>43070</v>
      </c>
      <c r="C323" s="16">
        <v>1500147841</v>
      </c>
      <c r="D323" s="13" t="s">
        <v>103</v>
      </c>
      <c r="E323" s="19" t="s">
        <v>278</v>
      </c>
      <c r="F323" s="60">
        <v>2217</v>
      </c>
      <c r="G323" s="32">
        <v>371</v>
      </c>
      <c r="H323" s="208">
        <v>43070</v>
      </c>
      <c r="I323" s="90">
        <v>0</v>
      </c>
      <c r="J323" s="90">
        <f t="shared" si="8"/>
        <v>371</v>
      </c>
      <c r="K323" s="90" t="str">
        <f t="shared" si="9"/>
        <v>ATRASADO</v>
      </c>
    </row>
    <row r="324" spans="2:11" ht="24.75">
      <c r="B324" s="10">
        <v>43074</v>
      </c>
      <c r="C324" s="16">
        <v>1500148821</v>
      </c>
      <c r="D324" s="13" t="s">
        <v>103</v>
      </c>
      <c r="E324" s="19" t="s">
        <v>278</v>
      </c>
      <c r="F324" s="60">
        <v>2217</v>
      </c>
      <c r="G324" s="32">
        <v>720</v>
      </c>
      <c r="H324" s="208">
        <v>43074</v>
      </c>
      <c r="I324" s="90">
        <v>0</v>
      </c>
      <c r="J324" s="90">
        <f t="shared" si="8"/>
        <v>720</v>
      </c>
      <c r="K324" s="90" t="str">
        <f t="shared" si="9"/>
        <v>ATRASADO</v>
      </c>
    </row>
    <row r="325" spans="2:11" ht="24.75">
      <c r="B325" s="10">
        <v>43075</v>
      </c>
      <c r="C325" s="16">
        <v>1500148880</v>
      </c>
      <c r="D325" s="13" t="s">
        <v>103</v>
      </c>
      <c r="E325" s="19" t="s">
        <v>278</v>
      </c>
      <c r="F325" s="60">
        <v>2217</v>
      </c>
      <c r="G325" s="32">
        <v>12840</v>
      </c>
      <c r="H325" s="208">
        <v>43075</v>
      </c>
      <c r="I325" s="90">
        <v>0</v>
      </c>
      <c r="J325" s="90">
        <f t="shared" si="8"/>
        <v>12840</v>
      </c>
      <c r="K325" s="90" t="str">
        <f t="shared" si="9"/>
        <v>ATRASADO</v>
      </c>
    </row>
    <row r="326" spans="2:11" ht="24.75">
      <c r="B326" s="10">
        <v>43075</v>
      </c>
      <c r="C326" s="16">
        <v>1500148882</v>
      </c>
      <c r="D326" s="13" t="s">
        <v>103</v>
      </c>
      <c r="E326" s="19" t="s">
        <v>278</v>
      </c>
      <c r="F326" s="60">
        <v>2217</v>
      </c>
      <c r="G326" s="32">
        <v>288</v>
      </c>
      <c r="H326" s="208">
        <v>43075</v>
      </c>
      <c r="I326" s="90">
        <v>0</v>
      </c>
      <c r="J326" s="90">
        <f t="shared" si="8"/>
        <v>288</v>
      </c>
      <c r="K326" s="90" t="str">
        <f t="shared" si="9"/>
        <v>ATRASADO</v>
      </c>
    </row>
    <row r="327" spans="2:11" ht="24.75">
      <c r="B327" s="10">
        <v>43075</v>
      </c>
      <c r="C327" s="16">
        <v>1500148921</v>
      </c>
      <c r="D327" s="13" t="s">
        <v>103</v>
      </c>
      <c r="E327" s="19" t="s">
        <v>278</v>
      </c>
      <c r="F327" s="60">
        <v>2217</v>
      </c>
      <c r="G327" s="32">
        <v>1850</v>
      </c>
      <c r="H327" s="208">
        <v>43075</v>
      </c>
      <c r="I327" s="90">
        <v>0</v>
      </c>
      <c r="J327" s="90">
        <f t="shared" si="8"/>
        <v>1850</v>
      </c>
      <c r="K327" s="90" t="str">
        <f t="shared" si="9"/>
        <v>ATRASADO</v>
      </c>
    </row>
    <row r="328" spans="2:11" ht="24.75">
      <c r="B328" s="10">
        <v>43080</v>
      </c>
      <c r="C328" s="16">
        <v>1500148999</v>
      </c>
      <c r="D328" s="13" t="s">
        <v>103</v>
      </c>
      <c r="E328" s="19" t="s">
        <v>278</v>
      </c>
      <c r="F328" s="60">
        <v>2217</v>
      </c>
      <c r="G328" s="32">
        <v>371</v>
      </c>
      <c r="H328" s="208">
        <v>43080</v>
      </c>
      <c r="I328" s="90">
        <v>0</v>
      </c>
      <c r="J328" s="90">
        <f t="shared" si="8"/>
        <v>371</v>
      </c>
      <c r="K328" s="90" t="str">
        <f t="shared" si="9"/>
        <v>ATRASADO</v>
      </c>
    </row>
    <row r="329" spans="2:11" ht="24.75">
      <c r="B329" s="10">
        <v>43100</v>
      </c>
      <c r="C329" s="16">
        <v>1500149019</v>
      </c>
      <c r="D329" s="13" t="s">
        <v>103</v>
      </c>
      <c r="E329" s="19" t="s">
        <v>278</v>
      </c>
      <c r="F329" s="60">
        <v>2217</v>
      </c>
      <c r="G329" s="32">
        <v>406</v>
      </c>
      <c r="H329" s="208">
        <v>43100</v>
      </c>
      <c r="I329" s="90">
        <v>0</v>
      </c>
      <c r="J329" s="90">
        <f t="shared" si="8"/>
        <v>406</v>
      </c>
      <c r="K329" s="90" t="str">
        <f t="shared" si="9"/>
        <v>ATRASADO</v>
      </c>
    </row>
    <row r="330" spans="2:11" ht="24.75">
      <c r="B330" s="10">
        <v>43109</v>
      </c>
      <c r="C330" s="16">
        <v>1500150157</v>
      </c>
      <c r="D330" s="13" t="s">
        <v>103</v>
      </c>
      <c r="E330" s="19" t="s">
        <v>278</v>
      </c>
      <c r="F330" s="60">
        <v>2217</v>
      </c>
      <c r="G330" s="32">
        <v>720</v>
      </c>
      <c r="H330" s="208">
        <v>43109</v>
      </c>
      <c r="I330" s="90">
        <v>0</v>
      </c>
      <c r="J330" s="90">
        <f t="shared" si="8"/>
        <v>720</v>
      </c>
      <c r="K330" s="90" t="str">
        <f t="shared" si="9"/>
        <v>ATRASADO</v>
      </c>
    </row>
    <row r="331" spans="2:11" ht="24.75">
      <c r="B331" s="10">
        <v>43109</v>
      </c>
      <c r="C331" s="16">
        <v>1500150192</v>
      </c>
      <c r="D331" s="13" t="s">
        <v>103</v>
      </c>
      <c r="E331" s="19" t="s">
        <v>278</v>
      </c>
      <c r="F331" s="60">
        <v>2217</v>
      </c>
      <c r="G331" s="32">
        <v>288</v>
      </c>
      <c r="H331" s="208">
        <v>43109</v>
      </c>
      <c r="I331" s="90">
        <v>0</v>
      </c>
      <c r="J331" s="90">
        <f t="shared" si="8"/>
        <v>288</v>
      </c>
      <c r="K331" s="90" t="str">
        <f t="shared" si="9"/>
        <v>ATRASADO</v>
      </c>
    </row>
    <row r="332" spans="2:11" ht="24.75">
      <c r="B332" s="10">
        <v>43109</v>
      </c>
      <c r="C332" s="16">
        <v>1500150190</v>
      </c>
      <c r="D332" s="13" t="s">
        <v>103</v>
      </c>
      <c r="E332" s="19" t="s">
        <v>278</v>
      </c>
      <c r="F332" s="60">
        <v>2217</v>
      </c>
      <c r="G332" s="32">
        <v>12840</v>
      </c>
      <c r="H332" s="208">
        <v>43109</v>
      </c>
      <c r="I332" s="90">
        <v>0</v>
      </c>
      <c r="J332" s="90">
        <f t="shared" si="8"/>
        <v>12840</v>
      </c>
      <c r="K332" s="90" t="str">
        <f t="shared" si="9"/>
        <v>ATRASADO</v>
      </c>
    </row>
    <row r="333" spans="2:11" ht="24.75">
      <c r="B333" s="10">
        <v>43109</v>
      </c>
      <c r="C333" s="16">
        <v>1500150243</v>
      </c>
      <c r="D333" s="13" t="s">
        <v>103</v>
      </c>
      <c r="E333" s="19" t="s">
        <v>278</v>
      </c>
      <c r="F333" s="60">
        <v>2217</v>
      </c>
      <c r="G333" s="32">
        <v>1850</v>
      </c>
      <c r="H333" s="208">
        <v>43109</v>
      </c>
      <c r="I333" s="90">
        <v>0</v>
      </c>
      <c r="J333" s="90">
        <f t="shared" si="8"/>
        <v>1850</v>
      </c>
      <c r="K333" s="90" t="str">
        <f t="shared" si="9"/>
        <v>ATRASADO</v>
      </c>
    </row>
    <row r="334" spans="2:11" ht="24.75">
      <c r="B334" s="10">
        <v>43109</v>
      </c>
      <c r="C334" s="16">
        <v>1500150287</v>
      </c>
      <c r="D334" s="13" t="s">
        <v>103</v>
      </c>
      <c r="E334" s="19" t="s">
        <v>278</v>
      </c>
      <c r="F334" s="60">
        <v>2217</v>
      </c>
      <c r="G334" s="32">
        <v>355</v>
      </c>
      <c r="H334" s="208">
        <v>43109</v>
      </c>
      <c r="I334" s="90">
        <v>0</v>
      </c>
      <c r="J334" s="90">
        <f t="shared" si="8"/>
        <v>355</v>
      </c>
      <c r="K334" s="90" t="str">
        <f t="shared" si="9"/>
        <v>ATRASADO</v>
      </c>
    </row>
    <row r="335" spans="2:11" ht="24.75">
      <c r="B335" s="10">
        <v>43138</v>
      </c>
      <c r="C335" s="17">
        <v>1500151429</v>
      </c>
      <c r="D335" s="13" t="s">
        <v>103</v>
      </c>
      <c r="E335" s="19" t="s">
        <v>278</v>
      </c>
      <c r="F335" s="60">
        <v>2217</v>
      </c>
      <c r="G335" s="32">
        <v>720</v>
      </c>
      <c r="H335" s="208">
        <v>43138</v>
      </c>
      <c r="I335" s="90">
        <v>0</v>
      </c>
      <c r="J335" s="90">
        <f t="shared" si="8"/>
        <v>720</v>
      </c>
      <c r="K335" s="90" t="str">
        <f t="shared" si="9"/>
        <v>ATRASADO</v>
      </c>
    </row>
    <row r="336" spans="2:11" ht="24.75">
      <c r="B336" s="10">
        <v>43138</v>
      </c>
      <c r="C336" s="17">
        <v>1500151476</v>
      </c>
      <c r="D336" s="13" t="s">
        <v>103</v>
      </c>
      <c r="E336" s="19" t="s">
        <v>278</v>
      </c>
      <c r="F336" s="60">
        <v>2217</v>
      </c>
      <c r="G336" s="32">
        <v>1850</v>
      </c>
      <c r="H336" s="208">
        <v>43138</v>
      </c>
      <c r="I336" s="90">
        <v>0</v>
      </c>
      <c r="J336" s="90">
        <f t="shared" ref="J336:J399" si="10">IF(G336&gt;0,G336,"")</f>
        <v>1850</v>
      </c>
      <c r="K336" s="90" t="str">
        <f t="shared" si="9"/>
        <v>ATRASADO</v>
      </c>
    </row>
    <row r="337" spans="2:11" ht="24.75">
      <c r="B337" s="10">
        <v>43140</v>
      </c>
      <c r="C337" s="17">
        <v>1500151578</v>
      </c>
      <c r="D337" s="13" t="s">
        <v>103</v>
      </c>
      <c r="E337" s="19" t="s">
        <v>278</v>
      </c>
      <c r="F337" s="60">
        <v>2217</v>
      </c>
      <c r="G337" s="32">
        <v>347</v>
      </c>
      <c r="H337" s="208">
        <v>43140</v>
      </c>
      <c r="I337" s="90">
        <v>0</v>
      </c>
      <c r="J337" s="90">
        <f t="shared" si="10"/>
        <v>347</v>
      </c>
      <c r="K337" s="90" t="str">
        <f t="shared" si="9"/>
        <v>ATRASADO</v>
      </c>
    </row>
    <row r="338" spans="2:11" ht="24.75">
      <c r="B338" s="10">
        <v>43143</v>
      </c>
      <c r="C338" s="17">
        <v>1500151645</v>
      </c>
      <c r="D338" s="13" t="s">
        <v>103</v>
      </c>
      <c r="E338" s="19" t="s">
        <v>278</v>
      </c>
      <c r="F338" s="60">
        <v>2217</v>
      </c>
      <c r="G338" s="32">
        <v>12840</v>
      </c>
      <c r="H338" s="208">
        <v>43143</v>
      </c>
      <c r="I338" s="90">
        <v>0</v>
      </c>
      <c r="J338" s="90">
        <f t="shared" si="10"/>
        <v>12840</v>
      </c>
      <c r="K338" s="90" t="str">
        <f t="shared" si="9"/>
        <v>ATRASADO</v>
      </c>
    </row>
    <row r="339" spans="2:11" ht="24.75">
      <c r="B339" s="10">
        <v>43143</v>
      </c>
      <c r="C339" s="17">
        <v>1500151647</v>
      </c>
      <c r="D339" s="13" t="s">
        <v>103</v>
      </c>
      <c r="E339" s="19" t="s">
        <v>278</v>
      </c>
      <c r="F339" s="60">
        <v>2217</v>
      </c>
      <c r="G339" s="32">
        <v>288</v>
      </c>
      <c r="H339" s="208">
        <v>43143</v>
      </c>
      <c r="I339" s="90">
        <v>0</v>
      </c>
      <c r="J339" s="90">
        <f t="shared" si="10"/>
        <v>288</v>
      </c>
      <c r="K339" s="90" t="str">
        <f t="shared" si="9"/>
        <v>ATRASADO</v>
      </c>
    </row>
    <row r="340" spans="2:11" ht="24.75">
      <c r="B340" s="10">
        <v>43171</v>
      </c>
      <c r="C340" s="17">
        <v>1500152783</v>
      </c>
      <c r="D340" s="13" t="s">
        <v>103</v>
      </c>
      <c r="E340" s="19" t="s">
        <v>278</v>
      </c>
      <c r="F340" s="60">
        <v>2217</v>
      </c>
      <c r="G340" s="32">
        <v>288</v>
      </c>
      <c r="H340" s="208">
        <v>43171</v>
      </c>
      <c r="I340" s="90">
        <v>0</v>
      </c>
      <c r="J340" s="90">
        <f t="shared" si="10"/>
        <v>288</v>
      </c>
      <c r="K340" s="90" t="str">
        <f t="shared" si="9"/>
        <v>ATRASADO</v>
      </c>
    </row>
    <row r="341" spans="2:11" ht="24.75">
      <c r="B341" s="10">
        <v>43167</v>
      </c>
      <c r="C341" s="17">
        <v>1500152694</v>
      </c>
      <c r="D341" s="13" t="s">
        <v>103</v>
      </c>
      <c r="E341" s="19" t="s">
        <v>278</v>
      </c>
      <c r="F341" s="60">
        <v>2217</v>
      </c>
      <c r="G341" s="32">
        <v>720</v>
      </c>
      <c r="H341" s="208">
        <v>43167</v>
      </c>
      <c r="I341" s="90">
        <v>0</v>
      </c>
      <c r="J341" s="90">
        <f t="shared" si="10"/>
        <v>720</v>
      </c>
      <c r="K341" s="90" t="str">
        <f t="shared" si="9"/>
        <v>ATRASADO</v>
      </c>
    </row>
    <row r="342" spans="2:11" ht="24.75">
      <c r="B342" s="10">
        <v>43171</v>
      </c>
      <c r="C342" s="17">
        <v>1500152825</v>
      </c>
      <c r="D342" s="13" t="s">
        <v>103</v>
      </c>
      <c r="E342" s="19" t="s">
        <v>278</v>
      </c>
      <c r="F342" s="60">
        <v>2217</v>
      </c>
      <c r="G342" s="32">
        <v>1850</v>
      </c>
      <c r="H342" s="208">
        <v>43171</v>
      </c>
      <c r="I342" s="90">
        <v>0</v>
      </c>
      <c r="J342" s="90">
        <f t="shared" si="10"/>
        <v>1850</v>
      </c>
      <c r="K342" s="90" t="str">
        <f t="shared" si="9"/>
        <v>ATRASADO</v>
      </c>
    </row>
    <row r="343" spans="2:11" ht="24.75">
      <c r="B343" s="10">
        <v>43171</v>
      </c>
      <c r="C343" s="17">
        <v>1500122780</v>
      </c>
      <c r="D343" s="13" t="s">
        <v>103</v>
      </c>
      <c r="E343" s="19" t="s">
        <v>278</v>
      </c>
      <c r="F343" s="60">
        <v>2217</v>
      </c>
      <c r="G343" s="32">
        <v>12840</v>
      </c>
      <c r="H343" s="208">
        <v>43171</v>
      </c>
      <c r="I343" s="90">
        <v>0</v>
      </c>
      <c r="J343" s="90">
        <f t="shared" si="10"/>
        <v>12840</v>
      </c>
      <c r="K343" s="90" t="str">
        <f t="shared" si="9"/>
        <v>ATRASADO</v>
      </c>
    </row>
    <row r="344" spans="2:11" ht="24.75">
      <c r="B344" s="10">
        <v>43171</v>
      </c>
      <c r="C344" s="17">
        <v>1500152889</v>
      </c>
      <c r="D344" s="13" t="s">
        <v>103</v>
      </c>
      <c r="E344" s="19" t="s">
        <v>278</v>
      </c>
      <c r="F344" s="60">
        <v>2217</v>
      </c>
      <c r="G344" s="32">
        <v>388</v>
      </c>
      <c r="H344" s="208">
        <v>43171</v>
      </c>
      <c r="I344" s="90">
        <v>0</v>
      </c>
      <c r="J344" s="90">
        <f t="shared" si="10"/>
        <v>388</v>
      </c>
      <c r="K344" s="90" t="str">
        <f t="shared" si="9"/>
        <v>ATRASADO</v>
      </c>
    </row>
    <row r="345" spans="2:11" ht="24.75">
      <c r="B345" s="10">
        <v>43200</v>
      </c>
      <c r="C345" s="17">
        <v>1500153997</v>
      </c>
      <c r="D345" s="13" t="s">
        <v>103</v>
      </c>
      <c r="E345" s="19" t="s">
        <v>278</v>
      </c>
      <c r="F345" s="60">
        <v>2217</v>
      </c>
      <c r="G345" s="32">
        <v>720</v>
      </c>
      <c r="H345" s="208">
        <v>43200</v>
      </c>
      <c r="I345" s="90">
        <v>0</v>
      </c>
      <c r="J345" s="90">
        <f t="shared" si="10"/>
        <v>720</v>
      </c>
      <c r="K345" s="90" t="str">
        <f t="shared" si="9"/>
        <v>ATRASADO</v>
      </c>
    </row>
    <row r="346" spans="2:11" ht="24.75">
      <c r="B346" s="10">
        <v>43200</v>
      </c>
      <c r="C346" s="17">
        <v>1500154031</v>
      </c>
      <c r="D346" s="13" t="s">
        <v>103</v>
      </c>
      <c r="E346" s="19" t="s">
        <v>278</v>
      </c>
      <c r="F346" s="60">
        <v>2217</v>
      </c>
      <c r="G346" s="32">
        <v>12840</v>
      </c>
      <c r="H346" s="208">
        <v>43200</v>
      </c>
      <c r="I346" s="90">
        <v>0</v>
      </c>
      <c r="J346" s="90">
        <f t="shared" si="10"/>
        <v>12840</v>
      </c>
      <c r="K346" s="90" t="str">
        <f t="shared" si="9"/>
        <v>ATRASADO</v>
      </c>
    </row>
    <row r="347" spans="2:11" ht="24.75">
      <c r="B347" s="10">
        <v>43200</v>
      </c>
      <c r="C347" s="17">
        <v>1500154034</v>
      </c>
      <c r="D347" s="13" t="s">
        <v>103</v>
      </c>
      <c r="E347" s="19" t="s">
        <v>278</v>
      </c>
      <c r="F347" s="60">
        <v>2217</v>
      </c>
      <c r="G347" s="32">
        <v>288</v>
      </c>
      <c r="H347" s="208">
        <v>43200</v>
      </c>
      <c r="I347" s="90">
        <v>0</v>
      </c>
      <c r="J347" s="90">
        <f t="shared" si="10"/>
        <v>288</v>
      </c>
      <c r="K347" s="90" t="str">
        <f t="shared" si="9"/>
        <v>ATRASADO</v>
      </c>
    </row>
    <row r="348" spans="2:11" ht="24.75">
      <c r="B348" s="10">
        <v>43202</v>
      </c>
      <c r="C348" s="17">
        <v>1500154075</v>
      </c>
      <c r="D348" s="13" t="s">
        <v>103</v>
      </c>
      <c r="E348" s="19" t="s">
        <v>278</v>
      </c>
      <c r="F348" s="60">
        <v>2217</v>
      </c>
      <c r="G348" s="32">
        <v>1850</v>
      </c>
      <c r="H348" s="208">
        <v>43202</v>
      </c>
      <c r="I348" s="90">
        <v>0</v>
      </c>
      <c r="J348" s="90">
        <f t="shared" si="10"/>
        <v>1850</v>
      </c>
      <c r="K348" s="90" t="str">
        <f t="shared" si="9"/>
        <v>ATRASADO</v>
      </c>
    </row>
    <row r="349" spans="2:11" ht="24.75">
      <c r="B349" s="10">
        <v>43202</v>
      </c>
      <c r="C349" s="17">
        <v>1500154166</v>
      </c>
      <c r="D349" s="13" t="s">
        <v>103</v>
      </c>
      <c r="E349" s="19" t="s">
        <v>278</v>
      </c>
      <c r="F349" s="60">
        <v>2217</v>
      </c>
      <c r="G349" s="32">
        <v>239</v>
      </c>
      <c r="H349" s="208">
        <v>43202</v>
      </c>
      <c r="I349" s="90">
        <v>0</v>
      </c>
      <c r="J349" s="90">
        <f t="shared" si="10"/>
        <v>239</v>
      </c>
      <c r="K349" s="90" t="str">
        <f t="shared" si="9"/>
        <v>ATRASADO</v>
      </c>
    </row>
    <row r="350" spans="2:11" ht="24.75">
      <c r="B350" s="10">
        <v>43202</v>
      </c>
      <c r="C350" s="17">
        <v>1500154186</v>
      </c>
      <c r="D350" s="13" t="s">
        <v>103</v>
      </c>
      <c r="E350" s="19" t="s">
        <v>278</v>
      </c>
      <c r="F350" s="60">
        <v>2217</v>
      </c>
      <c r="G350" s="32">
        <v>390</v>
      </c>
      <c r="H350" s="208">
        <v>43202</v>
      </c>
      <c r="I350" s="90">
        <v>0</v>
      </c>
      <c r="J350" s="90">
        <f t="shared" si="10"/>
        <v>390</v>
      </c>
      <c r="K350" s="90" t="str">
        <f t="shared" si="9"/>
        <v>ATRASADO</v>
      </c>
    </row>
    <row r="351" spans="2:11" ht="24.75">
      <c r="B351" s="10">
        <v>43171</v>
      </c>
      <c r="C351" s="17">
        <v>1500152869</v>
      </c>
      <c r="D351" s="13" t="s">
        <v>103</v>
      </c>
      <c r="E351" s="19" t="s">
        <v>278</v>
      </c>
      <c r="F351" s="60">
        <v>2217</v>
      </c>
      <c r="G351" s="32">
        <v>235</v>
      </c>
      <c r="H351" s="208">
        <v>43171</v>
      </c>
      <c r="I351" s="90">
        <v>0</v>
      </c>
      <c r="J351" s="90">
        <f t="shared" si="10"/>
        <v>235</v>
      </c>
      <c r="K351" s="90" t="str">
        <f t="shared" si="9"/>
        <v>ATRASADO</v>
      </c>
    </row>
    <row r="352" spans="2:11" ht="24.75">
      <c r="B352" s="10">
        <v>43298</v>
      </c>
      <c r="C352" s="17" t="s">
        <v>605</v>
      </c>
      <c r="D352" s="13" t="s">
        <v>103</v>
      </c>
      <c r="E352" s="19" t="s">
        <v>278</v>
      </c>
      <c r="F352" s="60">
        <v>2217</v>
      </c>
      <c r="G352" s="32">
        <v>720</v>
      </c>
      <c r="H352" s="208">
        <v>43298</v>
      </c>
      <c r="I352" s="90">
        <v>0</v>
      </c>
      <c r="J352" s="90">
        <f t="shared" si="10"/>
        <v>720</v>
      </c>
      <c r="K352" s="90" t="str">
        <f t="shared" si="9"/>
        <v>ATRASADO</v>
      </c>
    </row>
    <row r="353" spans="2:11" ht="24.75">
      <c r="B353" s="10">
        <v>43294</v>
      </c>
      <c r="C353" s="17" t="s">
        <v>606</v>
      </c>
      <c r="D353" s="13" t="s">
        <v>103</v>
      </c>
      <c r="E353" s="19" t="s">
        <v>278</v>
      </c>
      <c r="F353" s="60">
        <v>2217</v>
      </c>
      <c r="G353" s="32">
        <v>288</v>
      </c>
      <c r="H353" s="208">
        <v>43294</v>
      </c>
      <c r="I353" s="90">
        <v>0</v>
      </c>
      <c r="J353" s="90">
        <f t="shared" si="10"/>
        <v>288</v>
      </c>
      <c r="K353" s="90" t="str">
        <f t="shared" si="9"/>
        <v>ATRASADO</v>
      </c>
    </row>
    <row r="354" spans="2:11" ht="24.75">
      <c r="B354" s="10">
        <v>43294</v>
      </c>
      <c r="C354" s="17" t="s">
        <v>607</v>
      </c>
      <c r="D354" s="13" t="s">
        <v>103</v>
      </c>
      <c r="E354" s="19" t="s">
        <v>278</v>
      </c>
      <c r="F354" s="60">
        <v>2217</v>
      </c>
      <c r="G354" s="32">
        <v>12840</v>
      </c>
      <c r="H354" s="208">
        <v>43294</v>
      </c>
      <c r="I354" s="90">
        <v>0</v>
      </c>
      <c r="J354" s="90">
        <f t="shared" si="10"/>
        <v>12840</v>
      </c>
      <c r="K354" s="90" t="str">
        <f t="shared" si="9"/>
        <v>ATRASADO</v>
      </c>
    </row>
    <row r="355" spans="2:11" ht="24.75">
      <c r="B355" s="10">
        <v>43294</v>
      </c>
      <c r="C355" s="17" t="s">
        <v>608</v>
      </c>
      <c r="D355" s="13" t="s">
        <v>103</v>
      </c>
      <c r="E355" s="19" t="s">
        <v>278</v>
      </c>
      <c r="F355" s="60">
        <v>2217</v>
      </c>
      <c r="G355" s="32">
        <v>120</v>
      </c>
      <c r="H355" s="208">
        <v>43294</v>
      </c>
      <c r="I355" s="90">
        <v>0</v>
      </c>
      <c r="J355" s="90">
        <f t="shared" si="10"/>
        <v>120</v>
      </c>
      <c r="K355" s="90" t="str">
        <f t="shared" si="9"/>
        <v>ATRASADO</v>
      </c>
    </row>
    <row r="356" spans="2:11" ht="24.75">
      <c r="B356" s="10">
        <v>43298</v>
      </c>
      <c r="C356" s="17" t="s">
        <v>609</v>
      </c>
      <c r="D356" s="13" t="s">
        <v>103</v>
      </c>
      <c r="E356" s="19" t="s">
        <v>278</v>
      </c>
      <c r="F356" s="60">
        <v>2217</v>
      </c>
      <c r="G356" s="32">
        <v>1850</v>
      </c>
      <c r="H356" s="208">
        <v>43298</v>
      </c>
      <c r="I356" s="90">
        <v>0</v>
      </c>
      <c r="J356" s="90">
        <f t="shared" si="10"/>
        <v>1850</v>
      </c>
      <c r="K356" s="90" t="str">
        <f t="shared" si="9"/>
        <v>ATRASADO</v>
      </c>
    </row>
    <row r="357" spans="2:11" ht="24.75">
      <c r="B357" s="10">
        <v>43299</v>
      </c>
      <c r="C357" s="17" t="s">
        <v>610</v>
      </c>
      <c r="D357" s="13" t="s">
        <v>103</v>
      </c>
      <c r="E357" s="19" t="s">
        <v>278</v>
      </c>
      <c r="F357" s="60">
        <v>2217</v>
      </c>
      <c r="G357" s="32">
        <v>187</v>
      </c>
      <c r="H357" s="208">
        <v>43299</v>
      </c>
      <c r="I357" s="90">
        <v>0</v>
      </c>
      <c r="J357" s="90">
        <f t="shared" si="10"/>
        <v>187</v>
      </c>
      <c r="K357" s="90" t="str">
        <f t="shared" si="9"/>
        <v>ATRASADO</v>
      </c>
    </row>
    <row r="358" spans="2:11" ht="24.75">
      <c r="B358" s="10">
        <v>43326</v>
      </c>
      <c r="C358" s="17" t="s">
        <v>613</v>
      </c>
      <c r="D358" s="13" t="s">
        <v>103</v>
      </c>
      <c r="E358" s="19" t="s">
        <v>278</v>
      </c>
      <c r="F358" s="60">
        <v>2217</v>
      </c>
      <c r="G358" s="32">
        <v>187</v>
      </c>
      <c r="H358" s="208">
        <v>43326</v>
      </c>
      <c r="I358" s="90">
        <v>0</v>
      </c>
      <c r="J358" s="90">
        <f t="shared" si="10"/>
        <v>187</v>
      </c>
      <c r="K358" s="90" t="str">
        <f t="shared" si="9"/>
        <v>ATRASADO</v>
      </c>
    </row>
    <row r="359" spans="2:11" ht="24.75">
      <c r="B359" s="10">
        <v>43322</v>
      </c>
      <c r="C359" s="17" t="s">
        <v>614</v>
      </c>
      <c r="D359" s="13" t="s">
        <v>103</v>
      </c>
      <c r="E359" s="19" t="s">
        <v>278</v>
      </c>
      <c r="F359" s="60">
        <v>2217</v>
      </c>
      <c r="G359" s="32">
        <v>120</v>
      </c>
      <c r="H359" s="208">
        <v>43322</v>
      </c>
      <c r="I359" s="90">
        <v>0</v>
      </c>
      <c r="J359" s="90">
        <f t="shared" si="10"/>
        <v>120</v>
      </c>
      <c r="K359" s="90" t="str">
        <f t="shared" si="9"/>
        <v>ATRASADO</v>
      </c>
    </row>
    <row r="360" spans="2:11" ht="24.75">
      <c r="B360" s="10">
        <v>43326</v>
      </c>
      <c r="C360" s="17" t="s">
        <v>612</v>
      </c>
      <c r="D360" s="13" t="s">
        <v>103</v>
      </c>
      <c r="E360" s="19" t="s">
        <v>278</v>
      </c>
      <c r="F360" s="60">
        <v>2217</v>
      </c>
      <c r="G360" s="32">
        <v>12840</v>
      </c>
      <c r="H360" s="208">
        <v>43326</v>
      </c>
      <c r="I360" s="90">
        <v>0</v>
      </c>
      <c r="J360" s="90">
        <f t="shared" si="10"/>
        <v>12840</v>
      </c>
      <c r="K360" s="90" t="str">
        <f t="shared" si="9"/>
        <v>ATRASADO</v>
      </c>
    </row>
    <row r="361" spans="2:11" ht="24.75">
      <c r="B361" s="10">
        <v>43326</v>
      </c>
      <c r="C361" s="17" t="s">
        <v>615</v>
      </c>
      <c r="D361" s="13" t="s">
        <v>103</v>
      </c>
      <c r="E361" s="19" t="s">
        <v>278</v>
      </c>
      <c r="F361" s="60">
        <v>2217</v>
      </c>
      <c r="G361" s="32">
        <v>1850</v>
      </c>
      <c r="H361" s="208">
        <v>43326</v>
      </c>
      <c r="I361" s="90">
        <v>0</v>
      </c>
      <c r="J361" s="90">
        <f t="shared" si="10"/>
        <v>1850</v>
      </c>
      <c r="K361" s="90" t="str">
        <f t="shared" si="9"/>
        <v>ATRASADO</v>
      </c>
    </row>
    <row r="362" spans="2:11" ht="24.75">
      <c r="B362" s="10">
        <v>43322</v>
      </c>
      <c r="C362" s="17" t="s">
        <v>611</v>
      </c>
      <c r="D362" s="13" t="s">
        <v>103</v>
      </c>
      <c r="E362" s="19" t="s">
        <v>278</v>
      </c>
      <c r="F362" s="60">
        <v>2217</v>
      </c>
      <c r="G362" s="32">
        <v>720</v>
      </c>
      <c r="H362" s="208">
        <v>43322</v>
      </c>
      <c r="I362" s="90">
        <v>0</v>
      </c>
      <c r="J362" s="90">
        <f t="shared" si="10"/>
        <v>720</v>
      </c>
      <c r="K362" s="90" t="str">
        <f t="shared" si="9"/>
        <v>ATRASADO</v>
      </c>
    </row>
    <row r="363" spans="2:11" ht="24.75">
      <c r="B363" s="10">
        <v>43326</v>
      </c>
      <c r="C363" s="17" t="s">
        <v>616</v>
      </c>
      <c r="D363" s="13" t="s">
        <v>103</v>
      </c>
      <c r="E363" s="19" t="s">
        <v>278</v>
      </c>
      <c r="F363" s="60">
        <v>2217</v>
      </c>
      <c r="G363" s="32">
        <v>288</v>
      </c>
      <c r="H363" s="208">
        <v>43326</v>
      </c>
      <c r="I363" s="90">
        <v>0</v>
      </c>
      <c r="J363" s="90">
        <f t="shared" si="10"/>
        <v>288</v>
      </c>
      <c r="K363" s="90" t="str">
        <f t="shared" ref="K363:K426" si="11">IF(J363&gt;0,"ATRASADO","")</f>
        <v>ATRASADO</v>
      </c>
    </row>
    <row r="364" spans="2:11" ht="24.75">
      <c r="B364" s="10">
        <v>43354</v>
      </c>
      <c r="C364" s="17" t="s">
        <v>621</v>
      </c>
      <c r="D364" s="13" t="s">
        <v>103</v>
      </c>
      <c r="E364" s="19" t="s">
        <v>278</v>
      </c>
      <c r="F364" s="60">
        <v>2217</v>
      </c>
      <c r="G364" s="32">
        <v>720</v>
      </c>
      <c r="H364" s="208">
        <v>43354</v>
      </c>
      <c r="I364" s="90">
        <v>0</v>
      </c>
      <c r="J364" s="90">
        <f t="shared" si="10"/>
        <v>720</v>
      </c>
      <c r="K364" s="90" t="str">
        <f t="shared" si="11"/>
        <v>ATRASADO</v>
      </c>
    </row>
    <row r="365" spans="2:11" ht="24.75">
      <c r="B365" s="10">
        <v>43356</v>
      </c>
      <c r="C365" s="17" t="s">
        <v>622</v>
      </c>
      <c r="D365" s="13" t="s">
        <v>103</v>
      </c>
      <c r="E365" s="19" t="s">
        <v>278</v>
      </c>
      <c r="F365" s="60">
        <v>2217</v>
      </c>
      <c r="G365" s="32">
        <v>120</v>
      </c>
      <c r="H365" s="208">
        <v>43356</v>
      </c>
      <c r="I365" s="90">
        <v>0</v>
      </c>
      <c r="J365" s="90">
        <f t="shared" si="10"/>
        <v>120</v>
      </c>
      <c r="K365" s="90" t="str">
        <f t="shared" si="11"/>
        <v>ATRASADO</v>
      </c>
    </row>
    <row r="366" spans="2:11" ht="24.75">
      <c r="B366" s="10">
        <v>43356</v>
      </c>
      <c r="C366" s="17" t="s">
        <v>623</v>
      </c>
      <c r="D366" s="13" t="s">
        <v>103</v>
      </c>
      <c r="E366" s="19" t="s">
        <v>278</v>
      </c>
      <c r="F366" s="60">
        <v>2217</v>
      </c>
      <c r="G366" s="32">
        <v>1850</v>
      </c>
      <c r="H366" s="208">
        <v>43356</v>
      </c>
      <c r="I366" s="90">
        <v>0</v>
      </c>
      <c r="J366" s="90">
        <f t="shared" si="10"/>
        <v>1850</v>
      </c>
      <c r="K366" s="90" t="str">
        <f t="shared" si="11"/>
        <v>ATRASADO</v>
      </c>
    </row>
    <row r="367" spans="2:11" ht="24.75">
      <c r="B367" s="10">
        <v>43356</v>
      </c>
      <c r="C367" s="17" t="s">
        <v>624</v>
      </c>
      <c r="D367" s="13" t="s">
        <v>103</v>
      </c>
      <c r="E367" s="19" t="s">
        <v>278</v>
      </c>
      <c r="F367" s="60">
        <v>2217</v>
      </c>
      <c r="G367" s="32">
        <v>187</v>
      </c>
      <c r="H367" s="208">
        <v>43356</v>
      </c>
      <c r="I367" s="90">
        <v>0</v>
      </c>
      <c r="J367" s="90">
        <f t="shared" si="10"/>
        <v>187</v>
      </c>
      <c r="K367" s="90" t="str">
        <f t="shared" si="11"/>
        <v>ATRASADO</v>
      </c>
    </row>
    <row r="368" spans="2:11" ht="24.75">
      <c r="B368" s="10">
        <v>43388</v>
      </c>
      <c r="C368" s="17" t="s">
        <v>628</v>
      </c>
      <c r="D368" s="13" t="s">
        <v>103</v>
      </c>
      <c r="E368" s="19" t="s">
        <v>278</v>
      </c>
      <c r="F368" s="60">
        <v>2217</v>
      </c>
      <c r="G368" s="32">
        <v>187</v>
      </c>
      <c r="H368" s="208">
        <v>43388</v>
      </c>
      <c r="I368" s="90">
        <v>0</v>
      </c>
      <c r="J368" s="90">
        <f t="shared" si="10"/>
        <v>187</v>
      </c>
      <c r="K368" s="90" t="str">
        <f t="shared" si="11"/>
        <v>ATRASADO</v>
      </c>
    </row>
    <row r="369" spans="2:11" ht="24.75">
      <c r="B369" s="10">
        <v>43388</v>
      </c>
      <c r="C369" s="17" t="s">
        <v>629</v>
      </c>
      <c r="D369" s="13" t="s">
        <v>103</v>
      </c>
      <c r="E369" s="19" t="s">
        <v>278</v>
      </c>
      <c r="F369" s="60">
        <v>2217</v>
      </c>
      <c r="G369" s="32">
        <v>120</v>
      </c>
      <c r="H369" s="208">
        <v>43388</v>
      </c>
      <c r="I369" s="90">
        <v>0</v>
      </c>
      <c r="J369" s="90">
        <f t="shared" si="10"/>
        <v>120</v>
      </c>
      <c r="K369" s="90" t="str">
        <f t="shared" si="11"/>
        <v>ATRASADO</v>
      </c>
    </row>
    <row r="370" spans="2:11" ht="24.75">
      <c r="B370" s="10">
        <v>43389</v>
      </c>
      <c r="C370" s="17" t="s">
        <v>630</v>
      </c>
      <c r="D370" s="13" t="s">
        <v>103</v>
      </c>
      <c r="E370" s="19" t="s">
        <v>278</v>
      </c>
      <c r="F370" s="60">
        <v>2217</v>
      </c>
      <c r="G370" s="32">
        <v>1850</v>
      </c>
      <c r="H370" s="208">
        <v>43389</v>
      </c>
      <c r="I370" s="90">
        <v>0</v>
      </c>
      <c r="J370" s="90">
        <f t="shared" si="10"/>
        <v>1850</v>
      </c>
      <c r="K370" s="90" t="str">
        <f t="shared" si="11"/>
        <v>ATRASADO</v>
      </c>
    </row>
    <row r="371" spans="2:11" ht="24.75">
      <c r="B371" s="10">
        <v>43389</v>
      </c>
      <c r="C371" s="17" t="s">
        <v>631</v>
      </c>
      <c r="D371" s="13" t="s">
        <v>103</v>
      </c>
      <c r="E371" s="19" t="s">
        <v>278</v>
      </c>
      <c r="F371" s="60">
        <v>2217</v>
      </c>
      <c r="G371" s="32">
        <v>720</v>
      </c>
      <c r="H371" s="208">
        <v>43389</v>
      </c>
      <c r="I371" s="90">
        <v>0</v>
      </c>
      <c r="J371" s="90">
        <f t="shared" si="10"/>
        <v>720</v>
      </c>
      <c r="K371" s="90" t="str">
        <f t="shared" si="11"/>
        <v>ATRASADO</v>
      </c>
    </row>
    <row r="372" spans="2:11" ht="24.75">
      <c r="B372" s="10">
        <v>43419</v>
      </c>
      <c r="C372" s="17" t="s">
        <v>642</v>
      </c>
      <c r="D372" s="13" t="s">
        <v>103</v>
      </c>
      <c r="E372" s="19" t="s">
        <v>278</v>
      </c>
      <c r="F372" s="60">
        <v>2217</v>
      </c>
      <c r="G372" s="71">
        <v>720</v>
      </c>
      <c r="H372" s="208">
        <v>43419</v>
      </c>
      <c r="I372" s="90">
        <v>0</v>
      </c>
      <c r="J372" s="90">
        <f t="shared" si="10"/>
        <v>720</v>
      </c>
      <c r="K372" s="90" t="str">
        <f t="shared" si="11"/>
        <v>ATRASADO</v>
      </c>
    </row>
    <row r="373" spans="2:11" ht="24.75">
      <c r="B373" s="10">
        <v>43419</v>
      </c>
      <c r="C373" s="17" t="s">
        <v>643</v>
      </c>
      <c r="D373" s="13" t="s">
        <v>103</v>
      </c>
      <c r="E373" s="19" t="s">
        <v>278</v>
      </c>
      <c r="F373" s="60">
        <v>2217</v>
      </c>
      <c r="G373" s="71">
        <v>120</v>
      </c>
      <c r="H373" s="208">
        <v>43419</v>
      </c>
      <c r="I373" s="90">
        <v>0</v>
      </c>
      <c r="J373" s="90">
        <f t="shared" si="10"/>
        <v>120</v>
      </c>
      <c r="K373" s="90" t="str">
        <f t="shared" si="11"/>
        <v>ATRASADO</v>
      </c>
    </row>
    <row r="374" spans="2:11" ht="24.75">
      <c r="B374" s="10">
        <v>43420</v>
      </c>
      <c r="C374" s="17" t="s">
        <v>644</v>
      </c>
      <c r="D374" s="13" t="s">
        <v>103</v>
      </c>
      <c r="E374" s="19" t="s">
        <v>278</v>
      </c>
      <c r="F374" s="60">
        <v>2217</v>
      </c>
      <c r="G374" s="71">
        <v>1850</v>
      </c>
      <c r="H374" s="208">
        <v>43420</v>
      </c>
      <c r="I374" s="90">
        <v>0</v>
      </c>
      <c r="J374" s="90">
        <f t="shared" si="10"/>
        <v>1850</v>
      </c>
      <c r="K374" s="90" t="str">
        <f t="shared" si="11"/>
        <v>ATRASADO</v>
      </c>
    </row>
    <row r="375" spans="2:11" ht="24.75">
      <c r="B375" s="10">
        <v>43419</v>
      </c>
      <c r="C375" s="17" t="s">
        <v>645</v>
      </c>
      <c r="D375" s="13" t="s">
        <v>103</v>
      </c>
      <c r="E375" s="19" t="s">
        <v>278</v>
      </c>
      <c r="F375" s="60">
        <v>2217</v>
      </c>
      <c r="G375" s="71">
        <v>187</v>
      </c>
      <c r="H375" s="208">
        <v>43419</v>
      </c>
      <c r="I375" s="90">
        <v>0</v>
      </c>
      <c r="J375" s="90">
        <f t="shared" si="10"/>
        <v>187</v>
      </c>
      <c r="K375" s="90" t="str">
        <f t="shared" si="11"/>
        <v>ATRASADO</v>
      </c>
    </row>
    <row r="376" spans="2:11" ht="24.75">
      <c r="B376" s="10">
        <v>43502</v>
      </c>
      <c r="C376" s="17" t="s">
        <v>656</v>
      </c>
      <c r="D376" s="13" t="s">
        <v>103</v>
      </c>
      <c r="E376" s="19" t="s">
        <v>278</v>
      </c>
      <c r="F376" s="60">
        <v>2217</v>
      </c>
      <c r="G376" s="71">
        <v>2300</v>
      </c>
      <c r="H376" s="208">
        <v>43502</v>
      </c>
      <c r="I376" s="90">
        <v>0</v>
      </c>
      <c r="J376" s="90">
        <f t="shared" si="10"/>
        <v>2300</v>
      </c>
      <c r="K376" s="90" t="str">
        <f t="shared" si="11"/>
        <v>ATRASADO</v>
      </c>
    </row>
    <row r="377" spans="2:11" ht="24.75">
      <c r="B377" s="10">
        <v>43504</v>
      </c>
      <c r="C377" s="17" t="s">
        <v>657</v>
      </c>
      <c r="D377" s="13" t="s">
        <v>103</v>
      </c>
      <c r="E377" s="19" t="s">
        <v>278</v>
      </c>
      <c r="F377" s="60">
        <v>2217</v>
      </c>
      <c r="G377" s="71">
        <v>936</v>
      </c>
      <c r="H377" s="208">
        <v>43504</v>
      </c>
      <c r="I377" s="90">
        <v>0</v>
      </c>
      <c r="J377" s="90">
        <f t="shared" si="10"/>
        <v>936</v>
      </c>
      <c r="K377" s="90" t="str">
        <f t="shared" si="11"/>
        <v>ATRASADO</v>
      </c>
    </row>
    <row r="378" spans="2:11" ht="24.75">
      <c r="B378" s="10">
        <v>43507</v>
      </c>
      <c r="C378" s="17" t="s">
        <v>658</v>
      </c>
      <c r="D378" s="13" t="s">
        <v>103</v>
      </c>
      <c r="E378" s="19" t="s">
        <v>278</v>
      </c>
      <c r="F378" s="60">
        <v>2217</v>
      </c>
      <c r="G378" s="71">
        <v>300</v>
      </c>
      <c r="H378" s="208">
        <v>43507</v>
      </c>
      <c r="I378" s="90">
        <v>0</v>
      </c>
      <c r="J378" s="90">
        <f t="shared" si="10"/>
        <v>300</v>
      </c>
      <c r="K378" s="90" t="str">
        <f t="shared" si="11"/>
        <v>ATRASADO</v>
      </c>
    </row>
    <row r="379" spans="2:11" ht="24.75">
      <c r="B379" s="10">
        <v>43508</v>
      </c>
      <c r="C379" s="17" t="s">
        <v>659</v>
      </c>
      <c r="D379" s="13" t="s">
        <v>103</v>
      </c>
      <c r="E379" s="19" t="s">
        <v>278</v>
      </c>
      <c r="F379" s="60">
        <v>2217</v>
      </c>
      <c r="G379" s="71">
        <v>302</v>
      </c>
      <c r="H379" s="208">
        <v>43508</v>
      </c>
      <c r="I379" s="90">
        <v>0</v>
      </c>
      <c r="J379" s="90">
        <f t="shared" si="10"/>
        <v>302</v>
      </c>
      <c r="K379" s="90" t="str">
        <f t="shared" si="11"/>
        <v>ATRASADO</v>
      </c>
    </row>
    <row r="380" spans="2:11" ht="24.75">
      <c r="B380" s="10">
        <v>43537</v>
      </c>
      <c r="C380" s="17" t="s">
        <v>664</v>
      </c>
      <c r="D380" s="13" t="s">
        <v>103</v>
      </c>
      <c r="E380" s="19" t="s">
        <v>278</v>
      </c>
      <c r="F380" s="60">
        <v>2217</v>
      </c>
      <c r="G380" s="71">
        <v>300</v>
      </c>
      <c r="H380" s="208">
        <v>43537</v>
      </c>
      <c r="I380" s="90">
        <v>0</v>
      </c>
      <c r="J380" s="90">
        <f t="shared" si="10"/>
        <v>300</v>
      </c>
      <c r="K380" s="90" t="str">
        <f t="shared" si="11"/>
        <v>ATRASADO</v>
      </c>
    </row>
    <row r="381" spans="2:11" ht="24.75">
      <c r="B381" s="10">
        <v>43537</v>
      </c>
      <c r="C381" s="17" t="s">
        <v>665</v>
      </c>
      <c r="D381" s="13" t="s">
        <v>103</v>
      </c>
      <c r="E381" s="19" t="s">
        <v>278</v>
      </c>
      <c r="F381" s="60">
        <v>2217</v>
      </c>
      <c r="G381" s="71">
        <v>302</v>
      </c>
      <c r="H381" s="208">
        <v>43537</v>
      </c>
      <c r="I381" s="90">
        <v>0</v>
      </c>
      <c r="J381" s="90">
        <f t="shared" si="10"/>
        <v>302</v>
      </c>
      <c r="K381" s="90" t="str">
        <f t="shared" si="11"/>
        <v>ATRASADO</v>
      </c>
    </row>
    <row r="382" spans="2:11" ht="24.75">
      <c r="B382" s="10">
        <v>43537</v>
      </c>
      <c r="C382" s="17" t="s">
        <v>666</v>
      </c>
      <c r="D382" s="13" t="s">
        <v>103</v>
      </c>
      <c r="E382" s="19" t="s">
        <v>278</v>
      </c>
      <c r="F382" s="60">
        <v>2217</v>
      </c>
      <c r="G382" s="71">
        <v>936</v>
      </c>
      <c r="H382" s="208">
        <v>43537</v>
      </c>
      <c r="I382" s="90">
        <v>0</v>
      </c>
      <c r="J382" s="90">
        <f t="shared" si="10"/>
        <v>936</v>
      </c>
      <c r="K382" s="90" t="str">
        <f t="shared" si="11"/>
        <v>ATRASADO</v>
      </c>
    </row>
    <row r="383" spans="2:11" ht="24.75">
      <c r="B383" s="10">
        <v>43558</v>
      </c>
      <c r="C383" s="17" t="s">
        <v>671</v>
      </c>
      <c r="D383" s="13" t="s">
        <v>103</v>
      </c>
      <c r="E383" s="19" t="s">
        <v>278</v>
      </c>
      <c r="F383" s="60">
        <v>2217</v>
      </c>
      <c r="G383" s="71">
        <v>936</v>
      </c>
      <c r="H383" s="208">
        <v>43558</v>
      </c>
      <c r="I383" s="90">
        <v>0</v>
      </c>
      <c r="J383" s="90">
        <f t="shared" si="10"/>
        <v>936</v>
      </c>
      <c r="K383" s="90" t="str">
        <f t="shared" si="11"/>
        <v>ATRASADO</v>
      </c>
    </row>
    <row r="384" spans="2:11" ht="24.75">
      <c r="B384" s="10">
        <v>43563</v>
      </c>
      <c r="C384" s="17" t="s">
        <v>672</v>
      </c>
      <c r="D384" s="13" t="s">
        <v>103</v>
      </c>
      <c r="E384" s="19" t="s">
        <v>278</v>
      </c>
      <c r="F384" s="60">
        <v>2217</v>
      </c>
      <c r="G384" s="71">
        <v>300</v>
      </c>
      <c r="H384" s="208">
        <v>43563</v>
      </c>
      <c r="I384" s="90">
        <v>0</v>
      </c>
      <c r="J384" s="90">
        <f t="shared" si="10"/>
        <v>300</v>
      </c>
      <c r="K384" s="90" t="str">
        <f t="shared" si="11"/>
        <v>ATRASADO</v>
      </c>
    </row>
    <row r="385" spans="2:11" ht="24.75">
      <c r="B385" s="10">
        <v>43563</v>
      </c>
      <c r="C385" s="17" t="s">
        <v>673</v>
      </c>
      <c r="D385" s="13" t="s">
        <v>103</v>
      </c>
      <c r="E385" s="19" t="s">
        <v>278</v>
      </c>
      <c r="F385" s="60">
        <v>2217</v>
      </c>
      <c r="G385" s="71">
        <v>302</v>
      </c>
      <c r="H385" s="208">
        <v>43563</v>
      </c>
      <c r="I385" s="90">
        <v>0</v>
      </c>
      <c r="J385" s="90">
        <f t="shared" si="10"/>
        <v>302</v>
      </c>
      <c r="K385" s="90" t="str">
        <f t="shared" si="11"/>
        <v>ATRASADO</v>
      </c>
    </row>
    <row r="386" spans="2:11" ht="24.75">
      <c r="B386" s="10">
        <v>43559</v>
      </c>
      <c r="C386" s="17" t="s">
        <v>674</v>
      </c>
      <c r="D386" s="13" t="s">
        <v>103</v>
      </c>
      <c r="E386" s="19" t="s">
        <v>278</v>
      </c>
      <c r="F386" s="60">
        <v>2217</v>
      </c>
      <c r="G386" s="71">
        <v>34675</v>
      </c>
      <c r="H386" s="208">
        <v>43559</v>
      </c>
      <c r="I386" s="90">
        <v>0</v>
      </c>
      <c r="J386" s="90">
        <f t="shared" si="10"/>
        <v>34675</v>
      </c>
      <c r="K386" s="90" t="str">
        <f t="shared" si="11"/>
        <v>ATRASADO</v>
      </c>
    </row>
    <row r="387" spans="2:11" ht="24.75">
      <c r="B387" s="10">
        <v>43593</v>
      </c>
      <c r="C387" s="17" t="s">
        <v>682</v>
      </c>
      <c r="D387" s="13" t="s">
        <v>103</v>
      </c>
      <c r="E387" s="19" t="s">
        <v>278</v>
      </c>
      <c r="F387" s="60">
        <v>2217</v>
      </c>
      <c r="G387" s="71">
        <v>302</v>
      </c>
      <c r="H387" s="208">
        <v>43593</v>
      </c>
      <c r="I387" s="90">
        <v>0</v>
      </c>
      <c r="J387" s="90">
        <f t="shared" si="10"/>
        <v>302</v>
      </c>
      <c r="K387" s="90" t="str">
        <f t="shared" si="11"/>
        <v>ATRASADO</v>
      </c>
    </row>
    <row r="388" spans="2:11" ht="24.75">
      <c r="B388" s="10">
        <v>43593</v>
      </c>
      <c r="C388" s="17" t="s">
        <v>683</v>
      </c>
      <c r="D388" s="13" t="s">
        <v>103</v>
      </c>
      <c r="E388" s="19" t="s">
        <v>278</v>
      </c>
      <c r="F388" s="60">
        <v>2217</v>
      </c>
      <c r="G388" s="71">
        <v>300</v>
      </c>
      <c r="H388" s="208">
        <v>43593</v>
      </c>
      <c r="I388" s="90">
        <v>0</v>
      </c>
      <c r="J388" s="90">
        <f t="shared" si="10"/>
        <v>300</v>
      </c>
      <c r="K388" s="90" t="str">
        <f t="shared" si="11"/>
        <v>ATRASADO</v>
      </c>
    </row>
    <row r="389" spans="2:11" ht="24.75">
      <c r="B389" s="10">
        <v>43591</v>
      </c>
      <c r="C389" s="17" t="s">
        <v>684</v>
      </c>
      <c r="D389" s="13" t="s">
        <v>103</v>
      </c>
      <c r="E389" s="19" t="s">
        <v>278</v>
      </c>
      <c r="F389" s="60">
        <v>2217</v>
      </c>
      <c r="G389" s="71">
        <v>936</v>
      </c>
      <c r="H389" s="208">
        <v>43559</v>
      </c>
      <c r="I389" s="90">
        <v>0</v>
      </c>
      <c r="J389" s="90">
        <f t="shared" si="10"/>
        <v>936</v>
      </c>
      <c r="K389" s="90" t="str">
        <f t="shared" si="11"/>
        <v>ATRASADO</v>
      </c>
    </row>
    <row r="390" spans="2:11" ht="24.75">
      <c r="B390" s="10">
        <v>43626</v>
      </c>
      <c r="C390" s="17" t="s">
        <v>694</v>
      </c>
      <c r="D390" s="13" t="s">
        <v>103</v>
      </c>
      <c r="E390" s="19" t="s">
        <v>278</v>
      </c>
      <c r="F390" s="60">
        <v>2217</v>
      </c>
      <c r="G390" s="71">
        <v>302</v>
      </c>
      <c r="H390" s="208">
        <v>43626</v>
      </c>
      <c r="I390" s="90">
        <v>0</v>
      </c>
      <c r="J390" s="90">
        <f t="shared" si="10"/>
        <v>302</v>
      </c>
      <c r="K390" s="90" t="str">
        <f t="shared" si="11"/>
        <v>ATRASADO</v>
      </c>
    </row>
    <row r="391" spans="2:11" ht="24.75">
      <c r="B391" s="10">
        <v>43626</v>
      </c>
      <c r="C391" s="17" t="s">
        <v>695</v>
      </c>
      <c r="D391" s="13" t="s">
        <v>103</v>
      </c>
      <c r="E391" s="19" t="s">
        <v>278</v>
      </c>
      <c r="F391" s="60">
        <v>2217</v>
      </c>
      <c r="G391" s="71">
        <v>300</v>
      </c>
      <c r="H391" s="208">
        <v>43626</v>
      </c>
      <c r="I391" s="90">
        <v>0</v>
      </c>
      <c r="J391" s="90">
        <f t="shared" si="10"/>
        <v>300</v>
      </c>
      <c r="K391" s="90" t="str">
        <f t="shared" si="11"/>
        <v>ATRASADO</v>
      </c>
    </row>
    <row r="392" spans="2:11" ht="24.75">
      <c r="B392" s="10">
        <v>43621</v>
      </c>
      <c r="C392" s="17" t="s">
        <v>696</v>
      </c>
      <c r="D392" s="13" t="s">
        <v>103</v>
      </c>
      <c r="E392" s="19" t="s">
        <v>278</v>
      </c>
      <c r="F392" s="60">
        <v>2217</v>
      </c>
      <c r="G392" s="71">
        <v>936</v>
      </c>
      <c r="H392" s="208">
        <v>43621</v>
      </c>
      <c r="I392" s="90">
        <v>0</v>
      </c>
      <c r="J392" s="90">
        <f t="shared" si="10"/>
        <v>936</v>
      </c>
      <c r="K392" s="90" t="str">
        <f t="shared" si="11"/>
        <v>ATRASADO</v>
      </c>
    </row>
    <row r="393" spans="2:11" ht="24.75">
      <c r="B393" s="10">
        <v>43650</v>
      </c>
      <c r="C393" s="17" t="s">
        <v>702</v>
      </c>
      <c r="D393" s="13" t="s">
        <v>103</v>
      </c>
      <c r="E393" s="19" t="s">
        <v>278</v>
      </c>
      <c r="F393" s="60">
        <v>2217</v>
      </c>
      <c r="G393" s="71">
        <v>936</v>
      </c>
      <c r="H393" s="208">
        <v>43650</v>
      </c>
      <c r="I393" s="90">
        <v>0</v>
      </c>
      <c r="J393" s="90">
        <f t="shared" si="10"/>
        <v>936</v>
      </c>
      <c r="K393" s="90" t="str">
        <f t="shared" si="11"/>
        <v>ATRASADO</v>
      </c>
    </row>
    <row r="394" spans="2:11" ht="24.75">
      <c r="B394" s="10">
        <v>43654</v>
      </c>
      <c r="C394" s="17" t="s">
        <v>703</v>
      </c>
      <c r="D394" s="13" t="s">
        <v>103</v>
      </c>
      <c r="E394" s="19" t="s">
        <v>278</v>
      </c>
      <c r="F394" s="60">
        <v>2217</v>
      </c>
      <c r="G394" s="71">
        <v>302</v>
      </c>
      <c r="H394" s="208">
        <v>43654</v>
      </c>
      <c r="I394" s="90">
        <v>0</v>
      </c>
      <c r="J394" s="90">
        <f t="shared" si="10"/>
        <v>302</v>
      </c>
      <c r="K394" s="90" t="str">
        <f t="shared" si="11"/>
        <v>ATRASADO</v>
      </c>
    </row>
    <row r="395" spans="2:11" ht="24.75">
      <c r="B395" s="10">
        <v>43654</v>
      </c>
      <c r="C395" s="17" t="s">
        <v>704</v>
      </c>
      <c r="D395" s="13" t="s">
        <v>103</v>
      </c>
      <c r="E395" s="19" t="s">
        <v>278</v>
      </c>
      <c r="F395" s="60">
        <v>2217</v>
      </c>
      <c r="G395" s="71">
        <v>300</v>
      </c>
      <c r="H395" s="208">
        <v>43654</v>
      </c>
      <c r="I395" s="90">
        <v>0</v>
      </c>
      <c r="J395" s="90">
        <f t="shared" si="10"/>
        <v>300</v>
      </c>
      <c r="K395" s="90" t="str">
        <f t="shared" si="11"/>
        <v>ATRASADO</v>
      </c>
    </row>
    <row r="396" spans="2:11" ht="24.75">
      <c r="B396" s="10">
        <v>43713</v>
      </c>
      <c r="C396" s="17" t="s">
        <v>716</v>
      </c>
      <c r="D396" s="13" t="s">
        <v>103</v>
      </c>
      <c r="E396" s="19" t="s">
        <v>278</v>
      </c>
      <c r="F396" s="60">
        <v>2217</v>
      </c>
      <c r="G396" s="71">
        <v>936</v>
      </c>
      <c r="H396" s="208">
        <v>43713</v>
      </c>
      <c r="I396" s="90">
        <v>0</v>
      </c>
      <c r="J396" s="90">
        <f t="shared" si="10"/>
        <v>936</v>
      </c>
      <c r="K396" s="90" t="str">
        <f t="shared" si="11"/>
        <v>ATRASADO</v>
      </c>
    </row>
    <row r="397" spans="2:11" ht="24.75">
      <c r="B397" s="10">
        <v>43718</v>
      </c>
      <c r="C397" s="17" t="s">
        <v>717</v>
      </c>
      <c r="D397" s="13" t="s">
        <v>103</v>
      </c>
      <c r="E397" s="19" t="s">
        <v>278</v>
      </c>
      <c r="F397" s="60">
        <v>2217</v>
      </c>
      <c r="G397" s="71">
        <v>300</v>
      </c>
      <c r="H397" s="208">
        <v>43718</v>
      </c>
      <c r="I397" s="90">
        <v>0</v>
      </c>
      <c r="J397" s="90">
        <f t="shared" si="10"/>
        <v>300</v>
      </c>
      <c r="K397" s="90" t="str">
        <f t="shared" si="11"/>
        <v>ATRASADO</v>
      </c>
    </row>
    <row r="398" spans="2:11" ht="24.75">
      <c r="B398" s="10">
        <v>43718</v>
      </c>
      <c r="C398" s="17" t="s">
        <v>718</v>
      </c>
      <c r="D398" s="13" t="s">
        <v>103</v>
      </c>
      <c r="E398" s="19" t="s">
        <v>278</v>
      </c>
      <c r="F398" s="60">
        <v>2217</v>
      </c>
      <c r="G398" s="71">
        <v>302</v>
      </c>
      <c r="H398" s="208">
        <v>43718</v>
      </c>
      <c r="I398" s="90">
        <v>0</v>
      </c>
      <c r="J398" s="90">
        <f t="shared" si="10"/>
        <v>302</v>
      </c>
      <c r="K398" s="90" t="str">
        <f t="shared" si="11"/>
        <v>ATRASADO</v>
      </c>
    </row>
    <row r="399" spans="2:11" ht="24.75">
      <c r="B399" s="10">
        <v>43742</v>
      </c>
      <c r="C399" s="17" t="s">
        <v>721</v>
      </c>
      <c r="D399" s="13" t="s">
        <v>103</v>
      </c>
      <c r="E399" s="19" t="s">
        <v>278</v>
      </c>
      <c r="F399" s="60">
        <v>2217</v>
      </c>
      <c r="G399" s="71">
        <v>936</v>
      </c>
      <c r="H399" s="208">
        <v>43742</v>
      </c>
      <c r="I399" s="90">
        <v>0</v>
      </c>
      <c r="J399" s="90">
        <f t="shared" si="10"/>
        <v>936</v>
      </c>
      <c r="K399" s="90" t="str">
        <f t="shared" si="11"/>
        <v>ATRASADO</v>
      </c>
    </row>
    <row r="400" spans="2:11" ht="24.75">
      <c r="B400" s="10">
        <v>43747</v>
      </c>
      <c r="C400" s="17" t="s">
        <v>722</v>
      </c>
      <c r="D400" s="13" t="s">
        <v>103</v>
      </c>
      <c r="E400" s="19" t="s">
        <v>278</v>
      </c>
      <c r="F400" s="60">
        <v>2217</v>
      </c>
      <c r="G400" s="71">
        <v>300</v>
      </c>
      <c r="H400" s="208">
        <v>43747</v>
      </c>
      <c r="I400" s="90">
        <v>0</v>
      </c>
      <c r="J400" s="90">
        <f t="shared" ref="J400:J463" si="12">IF(G400&gt;0,G400,"")</f>
        <v>300</v>
      </c>
      <c r="K400" s="90" t="str">
        <f t="shared" si="11"/>
        <v>ATRASADO</v>
      </c>
    </row>
    <row r="401" spans="2:11" ht="24.75">
      <c r="B401" s="10">
        <v>43747</v>
      </c>
      <c r="C401" s="17" t="s">
        <v>723</v>
      </c>
      <c r="D401" s="13" t="s">
        <v>103</v>
      </c>
      <c r="E401" s="19" t="s">
        <v>278</v>
      </c>
      <c r="F401" s="60">
        <v>2217</v>
      </c>
      <c r="G401" s="71">
        <v>302</v>
      </c>
      <c r="H401" s="208">
        <v>43747</v>
      </c>
      <c r="I401" s="90">
        <v>0</v>
      </c>
      <c r="J401" s="90">
        <f t="shared" si="12"/>
        <v>302</v>
      </c>
      <c r="K401" s="90" t="str">
        <f t="shared" si="11"/>
        <v>ATRASADO</v>
      </c>
    </row>
    <row r="402" spans="2:11" ht="24.75">
      <c r="B402" s="10">
        <v>43780</v>
      </c>
      <c r="C402" s="17" t="s">
        <v>736</v>
      </c>
      <c r="D402" s="13" t="s">
        <v>103</v>
      </c>
      <c r="E402" s="19" t="s">
        <v>278</v>
      </c>
      <c r="F402" s="60">
        <v>2217</v>
      </c>
      <c r="G402" s="71">
        <v>300</v>
      </c>
      <c r="H402" s="208">
        <v>43780</v>
      </c>
      <c r="I402" s="90">
        <v>0</v>
      </c>
      <c r="J402" s="90">
        <f t="shared" si="12"/>
        <v>300</v>
      </c>
      <c r="K402" s="90" t="str">
        <f t="shared" si="11"/>
        <v>ATRASADO</v>
      </c>
    </row>
    <row r="403" spans="2:11" ht="24.75">
      <c r="B403" s="10">
        <v>43808</v>
      </c>
      <c r="C403" s="17" t="s">
        <v>747</v>
      </c>
      <c r="D403" s="13" t="s">
        <v>103</v>
      </c>
      <c r="E403" s="19" t="s">
        <v>278</v>
      </c>
      <c r="F403" s="60">
        <v>2217</v>
      </c>
      <c r="G403" s="71">
        <v>1236</v>
      </c>
      <c r="H403" s="208">
        <v>43808</v>
      </c>
      <c r="I403" s="90">
        <v>0</v>
      </c>
      <c r="J403" s="90">
        <f t="shared" si="12"/>
        <v>1236</v>
      </c>
      <c r="K403" s="90" t="str">
        <f t="shared" si="11"/>
        <v>ATRASADO</v>
      </c>
    </row>
    <row r="404" spans="2:11" ht="24.75">
      <c r="B404" s="10">
        <v>43840</v>
      </c>
      <c r="C404" s="17" t="s">
        <v>745</v>
      </c>
      <c r="D404" s="13" t="s">
        <v>103</v>
      </c>
      <c r="E404" s="19" t="s">
        <v>278</v>
      </c>
      <c r="F404" s="60">
        <v>2217</v>
      </c>
      <c r="G404" s="71">
        <v>300</v>
      </c>
      <c r="H404" s="208">
        <v>43840</v>
      </c>
      <c r="I404" s="90">
        <v>0</v>
      </c>
      <c r="J404" s="90">
        <f t="shared" si="12"/>
        <v>300</v>
      </c>
      <c r="K404" s="90" t="str">
        <f t="shared" si="11"/>
        <v>ATRASADO</v>
      </c>
    </row>
    <row r="405" spans="2:11" ht="24.75">
      <c r="B405" s="10">
        <v>43838</v>
      </c>
      <c r="C405" s="17" t="s">
        <v>746</v>
      </c>
      <c r="D405" s="13" t="s">
        <v>103</v>
      </c>
      <c r="E405" s="19" t="s">
        <v>278</v>
      </c>
      <c r="F405" s="60">
        <v>2217</v>
      </c>
      <c r="G405" s="71">
        <v>26548</v>
      </c>
      <c r="H405" s="208">
        <v>43838</v>
      </c>
      <c r="I405" s="90">
        <v>0</v>
      </c>
      <c r="J405" s="90">
        <f t="shared" si="12"/>
        <v>26548</v>
      </c>
      <c r="K405" s="90" t="str">
        <f t="shared" si="11"/>
        <v>ATRASADO</v>
      </c>
    </row>
    <row r="406" spans="2:11" ht="24.75">
      <c r="B406" s="10">
        <v>43868</v>
      </c>
      <c r="C406" s="17" t="s">
        <v>751</v>
      </c>
      <c r="D406" s="13" t="s">
        <v>103</v>
      </c>
      <c r="E406" s="19" t="s">
        <v>278</v>
      </c>
      <c r="F406" s="60">
        <v>2217</v>
      </c>
      <c r="G406" s="71">
        <v>26499</v>
      </c>
      <c r="H406" s="208">
        <v>43868</v>
      </c>
      <c r="I406" s="90">
        <v>0</v>
      </c>
      <c r="J406" s="90">
        <f t="shared" si="12"/>
        <v>26499</v>
      </c>
      <c r="K406" s="90" t="str">
        <f t="shared" si="11"/>
        <v>ATRASADO</v>
      </c>
    </row>
    <row r="407" spans="2:11" ht="24.75">
      <c r="B407" s="10">
        <v>43871</v>
      </c>
      <c r="C407" s="17" t="s">
        <v>752</v>
      </c>
      <c r="D407" s="13" t="s">
        <v>103</v>
      </c>
      <c r="E407" s="19" t="s">
        <v>278</v>
      </c>
      <c r="F407" s="60">
        <v>2217</v>
      </c>
      <c r="G407" s="71">
        <v>300</v>
      </c>
      <c r="H407" s="208">
        <v>43871</v>
      </c>
      <c r="I407" s="90">
        <v>0</v>
      </c>
      <c r="J407" s="90">
        <f t="shared" si="12"/>
        <v>300</v>
      </c>
      <c r="K407" s="90" t="str">
        <f t="shared" si="11"/>
        <v>ATRASADO</v>
      </c>
    </row>
    <row r="408" spans="2:11">
      <c r="B408" s="10"/>
      <c r="C408" s="17"/>
      <c r="D408" s="13"/>
      <c r="E408" s="19"/>
      <c r="F408" s="60"/>
      <c r="G408" s="71"/>
      <c r="H408" s="208"/>
      <c r="I408" s="90"/>
      <c r="J408" s="90" t="str">
        <f t="shared" si="12"/>
        <v/>
      </c>
      <c r="K408" s="90"/>
    </row>
    <row r="409" spans="2:11">
      <c r="B409" s="10">
        <v>41733</v>
      </c>
      <c r="C409" s="16">
        <v>1500000044</v>
      </c>
      <c r="D409" s="13" t="s">
        <v>141</v>
      </c>
      <c r="E409" s="19" t="s">
        <v>142</v>
      </c>
      <c r="F409" s="60">
        <v>2332</v>
      </c>
      <c r="G409" s="32">
        <v>48675</v>
      </c>
      <c r="H409" s="208">
        <v>41733</v>
      </c>
      <c r="I409" s="90">
        <v>0</v>
      </c>
      <c r="J409" s="90">
        <f t="shared" si="12"/>
        <v>48675</v>
      </c>
      <c r="K409" s="90" t="str">
        <f t="shared" si="11"/>
        <v>ATRASADO</v>
      </c>
    </row>
    <row r="410" spans="2:11">
      <c r="B410" s="10"/>
      <c r="C410" s="16"/>
      <c r="D410" s="13"/>
      <c r="E410" s="19"/>
      <c r="F410" s="60"/>
      <c r="G410" s="32"/>
      <c r="H410" s="208"/>
      <c r="I410" s="90"/>
      <c r="J410" s="90" t="str">
        <f t="shared" si="12"/>
        <v/>
      </c>
      <c r="K410" s="90"/>
    </row>
    <row r="411" spans="2:11">
      <c r="B411" s="10">
        <v>41396</v>
      </c>
      <c r="C411" s="12">
        <v>1500000041</v>
      </c>
      <c r="D411" s="13" t="s">
        <v>101</v>
      </c>
      <c r="E411" s="19" t="s">
        <v>102</v>
      </c>
      <c r="F411" s="60">
        <v>2221</v>
      </c>
      <c r="G411" s="32">
        <v>17700</v>
      </c>
      <c r="H411" s="208">
        <v>41396</v>
      </c>
      <c r="I411" s="90">
        <v>0</v>
      </c>
      <c r="J411" s="90">
        <f t="shared" si="12"/>
        <v>17700</v>
      </c>
      <c r="K411" s="90" t="str">
        <f t="shared" si="11"/>
        <v>ATRASADO</v>
      </c>
    </row>
    <row r="412" spans="2:11">
      <c r="B412" s="10"/>
      <c r="C412" s="12"/>
      <c r="D412" s="13"/>
      <c r="E412" s="19"/>
      <c r="F412" s="60"/>
      <c r="G412" s="32"/>
      <c r="H412" s="208"/>
      <c r="I412" s="90"/>
      <c r="J412" s="90" t="str">
        <f t="shared" si="12"/>
        <v/>
      </c>
      <c r="K412" s="90"/>
    </row>
    <row r="413" spans="2:11">
      <c r="B413" s="11">
        <v>41414</v>
      </c>
      <c r="C413" s="12">
        <v>1500000003</v>
      </c>
      <c r="D413" s="13" t="s">
        <v>9</v>
      </c>
      <c r="E413" s="19" t="s">
        <v>10</v>
      </c>
      <c r="F413" s="60">
        <v>2311</v>
      </c>
      <c r="G413" s="32">
        <v>860000</v>
      </c>
      <c r="H413" s="87">
        <v>41414</v>
      </c>
      <c r="I413" s="90">
        <v>0</v>
      </c>
      <c r="J413" s="90">
        <f t="shared" si="12"/>
        <v>860000</v>
      </c>
      <c r="K413" s="90" t="str">
        <f t="shared" si="11"/>
        <v>ATRASADO</v>
      </c>
    </row>
    <row r="414" spans="2:11">
      <c r="B414" s="11"/>
      <c r="C414" s="12"/>
      <c r="D414" s="13"/>
      <c r="E414" s="19"/>
      <c r="F414" s="60"/>
      <c r="G414" s="32"/>
      <c r="H414" s="87"/>
      <c r="I414" s="90"/>
      <c r="J414" s="90" t="str">
        <f t="shared" si="12"/>
        <v/>
      </c>
      <c r="K414" s="90"/>
    </row>
    <row r="415" spans="2:11">
      <c r="B415" s="10">
        <v>41718</v>
      </c>
      <c r="C415" s="28">
        <v>1501939632</v>
      </c>
      <c r="D415" s="13" t="s">
        <v>143</v>
      </c>
      <c r="E415" s="19" t="s">
        <v>144</v>
      </c>
      <c r="F415" s="60">
        <v>2323</v>
      </c>
      <c r="G415" s="32">
        <v>135346</v>
      </c>
      <c r="H415" s="208">
        <v>41718</v>
      </c>
      <c r="I415" s="90">
        <v>0</v>
      </c>
      <c r="J415" s="90">
        <f t="shared" si="12"/>
        <v>135346</v>
      </c>
      <c r="K415" s="90" t="str">
        <f t="shared" si="11"/>
        <v>ATRASADO</v>
      </c>
    </row>
    <row r="416" spans="2:11">
      <c r="B416" s="24"/>
      <c r="C416" s="17"/>
      <c r="D416" s="13"/>
      <c r="E416" s="19"/>
      <c r="F416" s="60"/>
      <c r="G416" s="32"/>
      <c r="H416" s="211"/>
      <c r="I416" s="90"/>
      <c r="J416" s="90" t="str">
        <f t="shared" si="12"/>
        <v/>
      </c>
      <c r="K416" s="90"/>
    </row>
    <row r="417" spans="2:11">
      <c r="B417" s="36">
        <v>41973</v>
      </c>
      <c r="C417" s="35" t="s">
        <v>520</v>
      </c>
      <c r="D417" s="13" t="s">
        <v>521</v>
      </c>
      <c r="E417" s="19" t="s">
        <v>467</v>
      </c>
      <c r="F417" s="60">
        <v>2311</v>
      </c>
      <c r="G417" s="32">
        <v>102424</v>
      </c>
      <c r="H417" s="210">
        <v>41973</v>
      </c>
      <c r="I417" s="90">
        <v>0</v>
      </c>
      <c r="J417" s="90">
        <f t="shared" si="12"/>
        <v>102424</v>
      </c>
      <c r="K417" s="90" t="str">
        <f t="shared" si="11"/>
        <v>ATRASADO</v>
      </c>
    </row>
    <row r="418" spans="2:11">
      <c r="B418" s="24"/>
      <c r="C418" s="17"/>
      <c r="D418" s="13"/>
      <c r="E418" s="19"/>
      <c r="F418" s="60"/>
      <c r="G418" s="32"/>
      <c r="H418" s="211"/>
      <c r="I418" s="90"/>
      <c r="J418" s="90" t="str">
        <f t="shared" si="12"/>
        <v/>
      </c>
      <c r="K418" s="90"/>
    </row>
    <row r="419" spans="2:11">
      <c r="B419" s="36">
        <v>41455</v>
      </c>
      <c r="C419" s="35" t="s">
        <v>510</v>
      </c>
      <c r="D419" s="13" t="s">
        <v>516</v>
      </c>
      <c r="E419" s="19" t="s">
        <v>467</v>
      </c>
      <c r="F419" s="60">
        <v>2311</v>
      </c>
      <c r="G419" s="32">
        <v>19182</v>
      </c>
      <c r="H419" s="210">
        <v>41455</v>
      </c>
      <c r="I419" s="90">
        <v>0</v>
      </c>
      <c r="J419" s="90">
        <f t="shared" si="12"/>
        <v>19182</v>
      </c>
      <c r="K419" s="90" t="str">
        <f t="shared" si="11"/>
        <v>ATRASADO</v>
      </c>
    </row>
    <row r="420" spans="2:11">
      <c r="B420" s="36">
        <v>41455</v>
      </c>
      <c r="C420" s="35" t="s">
        <v>511</v>
      </c>
      <c r="D420" s="13" t="s">
        <v>516</v>
      </c>
      <c r="E420" s="19" t="s">
        <v>467</v>
      </c>
      <c r="F420" s="60">
        <v>2311</v>
      </c>
      <c r="G420" s="32">
        <v>5415</v>
      </c>
      <c r="H420" s="210">
        <v>41455</v>
      </c>
      <c r="I420" s="90">
        <v>0</v>
      </c>
      <c r="J420" s="90">
        <f t="shared" si="12"/>
        <v>5415</v>
      </c>
      <c r="K420" s="90" t="str">
        <f t="shared" si="11"/>
        <v>ATRASADO</v>
      </c>
    </row>
    <row r="421" spans="2:11">
      <c r="B421" s="36">
        <v>41455</v>
      </c>
      <c r="C421" s="35" t="s">
        <v>512</v>
      </c>
      <c r="D421" s="13" t="s">
        <v>516</v>
      </c>
      <c r="E421" s="19" t="s">
        <v>467</v>
      </c>
      <c r="F421" s="60">
        <v>2311</v>
      </c>
      <c r="G421" s="32">
        <v>5930</v>
      </c>
      <c r="H421" s="210">
        <v>41455</v>
      </c>
      <c r="I421" s="90">
        <v>0</v>
      </c>
      <c r="J421" s="90">
        <f t="shared" si="12"/>
        <v>5930</v>
      </c>
      <c r="K421" s="90" t="str">
        <f t="shared" si="11"/>
        <v>ATRASADO</v>
      </c>
    </row>
    <row r="422" spans="2:11">
      <c r="B422" s="36">
        <v>41455</v>
      </c>
      <c r="C422" s="35" t="s">
        <v>513</v>
      </c>
      <c r="D422" s="13" t="s">
        <v>516</v>
      </c>
      <c r="E422" s="19" t="s">
        <v>467</v>
      </c>
      <c r="F422" s="60">
        <v>2311</v>
      </c>
      <c r="G422" s="32">
        <v>11213.8</v>
      </c>
      <c r="H422" s="210">
        <v>41455</v>
      </c>
      <c r="I422" s="90">
        <v>0</v>
      </c>
      <c r="J422" s="90">
        <f t="shared" si="12"/>
        <v>11213.8</v>
      </c>
      <c r="K422" s="90" t="str">
        <f t="shared" si="11"/>
        <v>ATRASADO</v>
      </c>
    </row>
    <row r="423" spans="2:11">
      <c r="B423" s="36">
        <v>41289</v>
      </c>
      <c r="C423" s="35" t="s">
        <v>514</v>
      </c>
      <c r="D423" s="13" t="s">
        <v>516</v>
      </c>
      <c r="E423" s="19" t="s">
        <v>467</v>
      </c>
      <c r="F423" s="60">
        <v>2311</v>
      </c>
      <c r="G423" s="32">
        <v>87718</v>
      </c>
      <c r="H423" s="210">
        <v>41289</v>
      </c>
      <c r="I423" s="90">
        <v>0</v>
      </c>
      <c r="J423" s="90">
        <f t="shared" si="12"/>
        <v>87718</v>
      </c>
      <c r="K423" s="90" t="str">
        <f t="shared" si="11"/>
        <v>ATRASADO</v>
      </c>
    </row>
    <row r="424" spans="2:11">
      <c r="B424" s="36">
        <v>41289</v>
      </c>
      <c r="C424" s="35" t="s">
        <v>515</v>
      </c>
      <c r="D424" s="13" t="s">
        <v>516</v>
      </c>
      <c r="E424" s="19" t="s">
        <v>467</v>
      </c>
      <c r="F424" s="60">
        <v>2311</v>
      </c>
      <c r="G424" s="32">
        <v>6900</v>
      </c>
      <c r="H424" s="210">
        <v>41289</v>
      </c>
      <c r="I424" s="90">
        <v>0</v>
      </c>
      <c r="J424" s="90">
        <f t="shared" si="12"/>
        <v>6900</v>
      </c>
      <c r="K424" s="90" t="str">
        <f t="shared" si="11"/>
        <v>ATRASADO</v>
      </c>
    </row>
    <row r="425" spans="2:11">
      <c r="B425" s="24"/>
      <c r="C425" s="17"/>
      <c r="D425" s="13"/>
      <c r="E425" s="19"/>
      <c r="F425" s="60"/>
      <c r="G425" s="32"/>
      <c r="H425" s="211"/>
      <c r="I425" s="90"/>
      <c r="J425" s="90" t="str">
        <f t="shared" si="12"/>
        <v/>
      </c>
      <c r="K425" s="90"/>
    </row>
    <row r="426" spans="2:11" ht="24.75">
      <c r="B426" s="11">
        <v>42004</v>
      </c>
      <c r="C426" s="49" t="s">
        <v>169</v>
      </c>
      <c r="D426" s="13" t="s">
        <v>170</v>
      </c>
      <c r="E426" s="19" t="s">
        <v>171</v>
      </c>
      <c r="F426" s="60">
        <v>2111</v>
      </c>
      <c r="G426" s="32">
        <v>56379985.829999998</v>
      </c>
      <c r="H426" s="87">
        <v>42004</v>
      </c>
      <c r="I426" s="90">
        <v>0</v>
      </c>
      <c r="J426" s="90">
        <f t="shared" si="12"/>
        <v>56379985.829999998</v>
      </c>
      <c r="K426" s="90" t="str">
        <f t="shared" si="11"/>
        <v>ATRASADO</v>
      </c>
    </row>
    <row r="427" spans="2:11">
      <c r="B427" s="11">
        <v>42369</v>
      </c>
      <c r="C427" s="49" t="s">
        <v>169</v>
      </c>
      <c r="D427" s="13" t="s">
        <v>170</v>
      </c>
      <c r="E427" s="19" t="s">
        <v>172</v>
      </c>
      <c r="F427" s="60">
        <v>2111</v>
      </c>
      <c r="G427" s="32">
        <v>9233539.5600000005</v>
      </c>
      <c r="H427" s="87">
        <v>42369</v>
      </c>
      <c r="I427" s="90">
        <v>0</v>
      </c>
      <c r="J427" s="90">
        <f t="shared" si="12"/>
        <v>9233539.5600000005</v>
      </c>
      <c r="K427" s="90" t="str">
        <f t="shared" ref="K427:K490" si="13">IF(J427&gt;0,"ATRASADO","")</f>
        <v>ATRASADO</v>
      </c>
    </row>
    <row r="428" spans="2:11">
      <c r="B428" s="11">
        <v>42400</v>
      </c>
      <c r="C428" s="49" t="s">
        <v>169</v>
      </c>
      <c r="D428" s="13" t="s">
        <v>170</v>
      </c>
      <c r="E428" s="19" t="s">
        <v>469</v>
      </c>
      <c r="F428" s="60">
        <v>2111</v>
      </c>
      <c r="G428" s="32">
        <v>8919797.25</v>
      </c>
      <c r="H428" s="87">
        <v>42400</v>
      </c>
      <c r="I428" s="90">
        <v>0</v>
      </c>
      <c r="J428" s="90">
        <f t="shared" si="12"/>
        <v>8919797.25</v>
      </c>
      <c r="K428" s="90" t="str">
        <f t="shared" si="13"/>
        <v>ATRASADO</v>
      </c>
    </row>
    <row r="429" spans="2:11">
      <c r="B429" s="11">
        <v>42735</v>
      </c>
      <c r="C429" s="49" t="s">
        <v>169</v>
      </c>
      <c r="D429" s="13" t="s">
        <v>170</v>
      </c>
      <c r="E429" s="19" t="s">
        <v>173</v>
      </c>
      <c r="F429" s="60">
        <v>2111</v>
      </c>
      <c r="G429" s="32">
        <v>1345055.71</v>
      </c>
      <c r="H429" s="87">
        <v>42735</v>
      </c>
      <c r="I429" s="90">
        <v>0</v>
      </c>
      <c r="J429" s="90">
        <f t="shared" si="12"/>
        <v>1345055.71</v>
      </c>
      <c r="K429" s="90" t="str">
        <f t="shared" si="13"/>
        <v>ATRASADO</v>
      </c>
    </row>
    <row r="430" spans="2:11">
      <c r="B430" s="11">
        <v>42766</v>
      </c>
      <c r="C430" s="49" t="s">
        <v>169</v>
      </c>
      <c r="D430" s="13" t="s">
        <v>170</v>
      </c>
      <c r="E430" s="19" t="s">
        <v>174</v>
      </c>
      <c r="F430" s="60">
        <v>2111</v>
      </c>
      <c r="G430" s="32">
        <f>1239042.35-756290.86</f>
        <v>482751.49000000011</v>
      </c>
      <c r="H430" s="87">
        <v>42766</v>
      </c>
      <c r="I430" s="90">
        <v>0</v>
      </c>
      <c r="J430" s="90">
        <f t="shared" si="12"/>
        <v>482751.49000000011</v>
      </c>
      <c r="K430" s="90" t="str">
        <f t="shared" si="13"/>
        <v>ATRASADO</v>
      </c>
    </row>
    <row r="431" spans="2:11">
      <c r="B431" s="11">
        <v>42825</v>
      </c>
      <c r="C431" s="49" t="s">
        <v>169</v>
      </c>
      <c r="D431" s="13" t="s">
        <v>170</v>
      </c>
      <c r="E431" s="19" t="s">
        <v>175</v>
      </c>
      <c r="F431" s="60">
        <v>2111</v>
      </c>
      <c r="G431" s="32">
        <f>1609059.97-781962.74</f>
        <v>827097.23</v>
      </c>
      <c r="H431" s="87">
        <v>42825</v>
      </c>
      <c r="I431" s="90">
        <v>0</v>
      </c>
      <c r="J431" s="90">
        <f t="shared" si="12"/>
        <v>827097.23</v>
      </c>
      <c r="K431" s="90" t="str">
        <f t="shared" si="13"/>
        <v>ATRASADO</v>
      </c>
    </row>
    <row r="432" spans="2:11">
      <c r="B432" s="11">
        <v>42855</v>
      </c>
      <c r="C432" s="49" t="s">
        <v>169</v>
      </c>
      <c r="D432" s="13" t="s">
        <v>170</v>
      </c>
      <c r="E432" s="19" t="s">
        <v>176</v>
      </c>
      <c r="F432" s="60">
        <v>2111</v>
      </c>
      <c r="G432" s="32">
        <f>1210456.97-785528.52</f>
        <v>424928.44999999995</v>
      </c>
      <c r="H432" s="87">
        <v>42855</v>
      </c>
      <c r="I432" s="90">
        <v>0</v>
      </c>
      <c r="J432" s="90">
        <f t="shared" si="12"/>
        <v>424928.44999999995</v>
      </c>
      <c r="K432" s="90" t="str">
        <f t="shared" si="13"/>
        <v>ATRASADO</v>
      </c>
    </row>
    <row r="433" spans="2:11">
      <c r="B433" s="11">
        <v>42886</v>
      </c>
      <c r="C433" s="49" t="s">
        <v>169</v>
      </c>
      <c r="D433" s="13" t="s">
        <v>170</v>
      </c>
      <c r="E433" s="19" t="s">
        <v>177</v>
      </c>
      <c r="F433" s="60">
        <v>2111</v>
      </c>
      <c r="G433" s="32">
        <f>1220483.12-862272.67</f>
        <v>358210.45000000007</v>
      </c>
      <c r="H433" s="87">
        <v>42886</v>
      </c>
      <c r="I433" s="90">
        <v>0</v>
      </c>
      <c r="J433" s="90">
        <f t="shared" si="12"/>
        <v>358210.45000000007</v>
      </c>
      <c r="K433" s="90" t="str">
        <f t="shared" si="13"/>
        <v>ATRASADO</v>
      </c>
    </row>
    <row r="434" spans="2:11">
      <c r="B434" s="11">
        <v>42916</v>
      </c>
      <c r="C434" s="49" t="s">
        <v>169</v>
      </c>
      <c r="D434" s="13" t="s">
        <v>170</v>
      </c>
      <c r="E434" s="19" t="s">
        <v>178</v>
      </c>
      <c r="F434" s="60">
        <v>2111</v>
      </c>
      <c r="G434" s="32">
        <v>1132676.27</v>
      </c>
      <c r="H434" s="87">
        <v>42916</v>
      </c>
      <c r="I434" s="90">
        <v>0</v>
      </c>
      <c r="J434" s="90">
        <f t="shared" si="12"/>
        <v>1132676.27</v>
      </c>
      <c r="K434" s="90" t="str">
        <f t="shared" si="13"/>
        <v>ATRASADO</v>
      </c>
    </row>
    <row r="435" spans="2:11">
      <c r="B435" s="11">
        <v>42947</v>
      </c>
      <c r="C435" s="49" t="s">
        <v>169</v>
      </c>
      <c r="D435" s="13" t="s">
        <v>170</v>
      </c>
      <c r="E435" s="19" t="s">
        <v>179</v>
      </c>
      <c r="F435" s="60">
        <v>2111</v>
      </c>
      <c r="G435" s="32">
        <f>866397.65-864510.68</f>
        <v>1886.9699999999721</v>
      </c>
      <c r="H435" s="87">
        <v>42947</v>
      </c>
      <c r="I435" s="90">
        <v>0</v>
      </c>
      <c r="J435" s="90">
        <f t="shared" si="12"/>
        <v>1886.9699999999721</v>
      </c>
      <c r="K435" s="90" t="str">
        <f t="shared" si="13"/>
        <v>ATRASADO</v>
      </c>
    </row>
    <row r="436" spans="2:11">
      <c r="B436" s="11">
        <v>42978</v>
      </c>
      <c r="C436" s="49" t="s">
        <v>169</v>
      </c>
      <c r="D436" s="13" t="s">
        <v>170</v>
      </c>
      <c r="E436" s="19" t="s">
        <v>180</v>
      </c>
      <c r="F436" s="60">
        <v>2111</v>
      </c>
      <c r="G436" s="32">
        <v>1206347.3400000001</v>
      </c>
      <c r="H436" s="87">
        <v>42978</v>
      </c>
      <c r="I436" s="90">
        <v>0</v>
      </c>
      <c r="J436" s="90">
        <f t="shared" si="12"/>
        <v>1206347.3400000001</v>
      </c>
      <c r="K436" s="90" t="str">
        <f t="shared" si="13"/>
        <v>ATRASADO</v>
      </c>
    </row>
    <row r="437" spans="2:11">
      <c r="B437" s="11">
        <v>43008</v>
      </c>
      <c r="C437" s="49" t="s">
        <v>169</v>
      </c>
      <c r="D437" s="13" t="s">
        <v>170</v>
      </c>
      <c r="E437" s="19" t="s">
        <v>475</v>
      </c>
      <c r="F437" s="60">
        <v>2111</v>
      </c>
      <c r="G437" s="32">
        <v>1442361.62</v>
      </c>
      <c r="H437" s="87">
        <v>43008</v>
      </c>
      <c r="I437" s="90">
        <v>0</v>
      </c>
      <c r="J437" s="90">
        <f t="shared" si="12"/>
        <v>1442361.62</v>
      </c>
      <c r="K437" s="90" t="str">
        <f t="shared" si="13"/>
        <v>ATRASADO</v>
      </c>
    </row>
    <row r="438" spans="2:11">
      <c r="B438" s="11">
        <v>43039</v>
      </c>
      <c r="C438" s="49" t="s">
        <v>169</v>
      </c>
      <c r="D438" s="13" t="s">
        <v>170</v>
      </c>
      <c r="E438" s="19" t="s">
        <v>478</v>
      </c>
      <c r="F438" s="60">
        <v>2111</v>
      </c>
      <c r="G438" s="32">
        <v>1472113.08</v>
      </c>
      <c r="H438" s="87">
        <v>43039</v>
      </c>
      <c r="I438" s="90">
        <v>0</v>
      </c>
      <c r="J438" s="90">
        <f t="shared" si="12"/>
        <v>1472113.08</v>
      </c>
      <c r="K438" s="90" t="str">
        <f t="shared" si="13"/>
        <v>ATRASADO</v>
      </c>
    </row>
    <row r="439" spans="2:11">
      <c r="B439" s="11">
        <v>43069</v>
      </c>
      <c r="C439" s="49" t="s">
        <v>169</v>
      </c>
      <c r="D439" s="13" t="s">
        <v>170</v>
      </c>
      <c r="E439" s="19" t="s">
        <v>481</v>
      </c>
      <c r="F439" s="60">
        <v>2111</v>
      </c>
      <c r="G439" s="32">
        <v>1375804.05</v>
      </c>
      <c r="H439" s="87">
        <v>43069</v>
      </c>
      <c r="I439" s="90">
        <v>0</v>
      </c>
      <c r="J439" s="90">
        <f t="shared" si="12"/>
        <v>1375804.05</v>
      </c>
      <c r="K439" s="90" t="str">
        <f t="shared" si="13"/>
        <v>ATRASADO</v>
      </c>
    </row>
    <row r="440" spans="2:11">
      <c r="B440" s="11">
        <v>43100</v>
      </c>
      <c r="C440" s="49" t="s">
        <v>169</v>
      </c>
      <c r="D440" s="13" t="s">
        <v>170</v>
      </c>
      <c r="E440" s="19" t="s">
        <v>483</v>
      </c>
      <c r="F440" s="60">
        <v>2111</v>
      </c>
      <c r="G440" s="32">
        <v>1138072.55</v>
      </c>
      <c r="H440" s="87">
        <v>43100</v>
      </c>
      <c r="I440" s="90">
        <v>0</v>
      </c>
      <c r="J440" s="90">
        <f t="shared" si="12"/>
        <v>1138072.55</v>
      </c>
      <c r="K440" s="90" t="str">
        <f t="shared" si="13"/>
        <v>ATRASADO</v>
      </c>
    </row>
    <row r="441" spans="2:11">
      <c r="B441" s="11">
        <v>43131</v>
      </c>
      <c r="C441" s="49" t="s">
        <v>169</v>
      </c>
      <c r="D441" s="13" t="s">
        <v>170</v>
      </c>
      <c r="E441" s="19" t="s">
        <v>573</v>
      </c>
      <c r="F441" s="60">
        <v>2111</v>
      </c>
      <c r="G441" s="32">
        <f>2355581.69-23223.29+2.53</f>
        <v>2332360.9299999997</v>
      </c>
      <c r="H441" s="87">
        <v>43131</v>
      </c>
      <c r="I441" s="90">
        <v>0</v>
      </c>
      <c r="J441" s="90">
        <f t="shared" si="12"/>
        <v>2332360.9299999997</v>
      </c>
      <c r="K441" s="90" t="str">
        <f t="shared" si="13"/>
        <v>ATRASADO</v>
      </c>
    </row>
    <row r="442" spans="2:11">
      <c r="B442" s="11">
        <v>43159</v>
      </c>
      <c r="C442" s="49" t="s">
        <v>169</v>
      </c>
      <c r="D442" s="13" t="s">
        <v>170</v>
      </c>
      <c r="E442" s="19" t="s">
        <v>575</v>
      </c>
      <c r="F442" s="60">
        <v>2111</v>
      </c>
      <c r="G442" s="32">
        <v>2003149.4</v>
      </c>
      <c r="H442" s="87">
        <v>43159</v>
      </c>
      <c r="I442" s="90">
        <v>0</v>
      </c>
      <c r="J442" s="90">
        <f t="shared" si="12"/>
        <v>2003149.4</v>
      </c>
      <c r="K442" s="90" t="str">
        <f t="shared" si="13"/>
        <v>ATRASADO</v>
      </c>
    </row>
    <row r="443" spans="2:11">
      <c r="B443" s="11">
        <v>43190</v>
      </c>
      <c r="C443" s="49" t="s">
        <v>169</v>
      </c>
      <c r="D443" s="13" t="s">
        <v>170</v>
      </c>
      <c r="E443" s="19" t="s">
        <v>578</v>
      </c>
      <c r="F443" s="60">
        <v>2111</v>
      </c>
      <c r="G443" s="32">
        <v>876079.83</v>
      </c>
      <c r="H443" s="87">
        <v>43190</v>
      </c>
      <c r="I443" s="90">
        <v>0</v>
      </c>
      <c r="J443" s="90">
        <f t="shared" si="12"/>
        <v>876079.83</v>
      </c>
      <c r="K443" s="90" t="str">
        <f t="shared" si="13"/>
        <v>ATRASADO</v>
      </c>
    </row>
    <row r="444" spans="2:11">
      <c r="B444" s="11">
        <v>43220</v>
      </c>
      <c r="C444" s="49" t="s">
        <v>169</v>
      </c>
      <c r="D444" s="13" t="s">
        <v>170</v>
      </c>
      <c r="E444" s="19" t="s">
        <v>583</v>
      </c>
      <c r="F444" s="60">
        <v>2111</v>
      </c>
      <c r="G444" s="32">
        <v>1676311.82</v>
      </c>
      <c r="H444" s="87" t="s">
        <v>584</v>
      </c>
      <c r="I444" s="90">
        <v>0</v>
      </c>
      <c r="J444" s="90">
        <f t="shared" si="12"/>
        <v>1676311.82</v>
      </c>
      <c r="K444" s="90" t="str">
        <f t="shared" si="13"/>
        <v>ATRASADO</v>
      </c>
    </row>
    <row r="445" spans="2:11">
      <c r="B445" s="11">
        <v>43251</v>
      </c>
      <c r="C445" s="49" t="s">
        <v>169</v>
      </c>
      <c r="D445" s="13" t="s">
        <v>170</v>
      </c>
      <c r="E445" s="19" t="s">
        <v>589</v>
      </c>
      <c r="F445" s="60">
        <v>2111</v>
      </c>
      <c r="G445" s="32">
        <f>1910855.84+756290.86</f>
        <v>2667146.7000000002</v>
      </c>
      <c r="H445" s="87">
        <v>43251</v>
      </c>
      <c r="I445" s="90">
        <v>0</v>
      </c>
      <c r="J445" s="90">
        <f t="shared" si="12"/>
        <v>2667146.7000000002</v>
      </c>
      <c r="K445" s="90" t="str">
        <f t="shared" si="13"/>
        <v>ATRASADO</v>
      </c>
    </row>
    <row r="446" spans="2:11">
      <c r="B446" s="11">
        <v>43281</v>
      </c>
      <c r="C446" s="49" t="s">
        <v>169</v>
      </c>
      <c r="D446" s="13" t="s">
        <v>170</v>
      </c>
      <c r="E446" s="19" t="s">
        <v>595</v>
      </c>
      <c r="F446" s="60">
        <v>2111</v>
      </c>
      <c r="G446" s="32">
        <v>1647905.42</v>
      </c>
      <c r="H446" s="87">
        <v>43281</v>
      </c>
      <c r="I446" s="90">
        <v>0</v>
      </c>
      <c r="J446" s="90">
        <f t="shared" si="12"/>
        <v>1647905.42</v>
      </c>
      <c r="K446" s="90" t="str">
        <f t="shared" si="13"/>
        <v>ATRASADO</v>
      </c>
    </row>
    <row r="447" spans="2:11">
      <c r="B447" s="11">
        <v>43312</v>
      </c>
      <c r="C447" s="49" t="s">
        <v>169</v>
      </c>
      <c r="D447" s="13" t="s">
        <v>170</v>
      </c>
      <c r="E447" s="19" t="s">
        <v>604</v>
      </c>
      <c r="F447" s="60">
        <v>2111</v>
      </c>
      <c r="G447" s="32">
        <v>2001908.67</v>
      </c>
      <c r="H447" s="87">
        <v>43312</v>
      </c>
      <c r="I447" s="90">
        <v>0</v>
      </c>
      <c r="J447" s="90">
        <f t="shared" si="12"/>
        <v>2001908.67</v>
      </c>
      <c r="K447" s="90" t="str">
        <f t="shared" si="13"/>
        <v>ATRASADO</v>
      </c>
    </row>
    <row r="448" spans="2:11">
      <c r="B448" s="11">
        <v>43343</v>
      </c>
      <c r="C448" s="49" t="s">
        <v>169</v>
      </c>
      <c r="D448" s="13" t="s">
        <v>170</v>
      </c>
      <c r="E448" s="19" t="s">
        <v>617</v>
      </c>
      <c r="F448" s="60">
        <v>2111</v>
      </c>
      <c r="G448" s="32">
        <v>1779408.53</v>
      </c>
      <c r="H448" s="87">
        <v>43343</v>
      </c>
      <c r="I448" s="90">
        <v>0</v>
      </c>
      <c r="J448" s="90">
        <f t="shared" si="12"/>
        <v>1779408.53</v>
      </c>
      <c r="K448" s="90" t="str">
        <f t="shared" si="13"/>
        <v>ATRASADO</v>
      </c>
    </row>
    <row r="449" spans="2:11">
      <c r="B449" s="11">
        <v>43373</v>
      </c>
      <c r="C449" s="49" t="s">
        <v>169</v>
      </c>
      <c r="D449" s="13" t="s">
        <v>170</v>
      </c>
      <c r="E449" s="19" t="s">
        <v>627</v>
      </c>
      <c r="F449" s="60">
        <v>2111</v>
      </c>
      <c r="G449" s="32">
        <v>2137123.15</v>
      </c>
      <c r="H449" s="87">
        <v>43373</v>
      </c>
      <c r="I449" s="90">
        <v>0</v>
      </c>
      <c r="J449" s="90">
        <f t="shared" si="12"/>
        <v>2137123.15</v>
      </c>
      <c r="K449" s="90" t="str">
        <f t="shared" si="13"/>
        <v>ATRASADO</v>
      </c>
    </row>
    <row r="450" spans="2:11">
      <c r="B450" s="11">
        <v>43404</v>
      </c>
      <c r="C450" s="49" t="s">
        <v>169</v>
      </c>
      <c r="D450" s="13" t="s">
        <v>170</v>
      </c>
      <c r="E450" s="19" t="s">
        <v>636</v>
      </c>
      <c r="F450" s="60">
        <v>2111</v>
      </c>
      <c r="G450" s="32">
        <v>1501029.52</v>
      </c>
      <c r="H450" s="87">
        <v>43404</v>
      </c>
      <c r="I450" s="90">
        <v>0</v>
      </c>
      <c r="J450" s="90">
        <f t="shared" si="12"/>
        <v>1501029.52</v>
      </c>
      <c r="K450" s="90" t="str">
        <f t="shared" si="13"/>
        <v>ATRASADO</v>
      </c>
    </row>
    <row r="451" spans="2:11">
      <c r="B451" s="11" t="s">
        <v>638</v>
      </c>
      <c r="C451" s="49" t="s">
        <v>169</v>
      </c>
      <c r="D451" s="13" t="s">
        <v>170</v>
      </c>
      <c r="E451" s="19" t="s">
        <v>639</v>
      </c>
      <c r="F451" s="60">
        <v>2111</v>
      </c>
      <c r="G451" s="32">
        <v>1401290.8</v>
      </c>
      <c r="H451" s="87" t="s">
        <v>638</v>
      </c>
      <c r="I451" s="90">
        <v>0</v>
      </c>
      <c r="J451" s="90">
        <f t="shared" si="12"/>
        <v>1401290.8</v>
      </c>
      <c r="K451" s="90" t="str">
        <f t="shared" si="13"/>
        <v>ATRASADO</v>
      </c>
    </row>
    <row r="452" spans="2:11">
      <c r="B452" s="11">
        <v>43465</v>
      </c>
      <c r="C452" s="49" t="s">
        <v>169</v>
      </c>
      <c r="D452" s="13" t="s">
        <v>170</v>
      </c>
      <c r="E452" s="19" t="s">
        <v>649</v>
      </c>
      <c r="F452" s="60">
        <v>2111</v>
      </c>
      <c r="G452" s="32">
        <f>2645215.75+244934.76</f>
        <v>2890150.51</v>
      </c>
      <c r="H452" s="87">
        <v>43465</v>
      </c>
      <c r="I452" s="90">
        <v>0</v>
      </c>
      <c r="J452" s="90">
        <f t="shared" si="12"/>
        <v>2890150.51</v>
      </c>
      <c r="K452" s="90" t="str">
        <f t="shared" si="13"/>
        <v>ATRASADO</v>
      </c>
    </row>
    <row r="453" spans="2:11">
      <c r="B453" s="11">
        <v>43496</v>
      </c>
      <c r="C453" s="49" t="s">
        <v>169</v>
      </c>
      <c r="D453" s="13" t="s">
        <v>170</v>
      </c>
      <c r="E453" s="19" t="s">
        <v>654</v>
      </c>
      <c r="F453" s="60">
        <v>2111</v>
      </c>
      <c r="G453" s="32">
        <v>2747051.23</v>
      </c>
      <c r="H453" s="87">
        <v>43496</v>
      </c>
      <c r="I453" s="90">
        <v>0</v>
      </c>
      <c r="J453" s="90">
        <f t="shared" si="12"/>
        <v>2747051.23</v>
      </c>
      <c r="K453" s="90" t="str">
        <f t="shared" si="13"/>
        <v>ATRASADO</v>
      </c>
    </row>
    <row r="454" spans="2:11">
      <c r="B454" s="11">
        <v>43524</v>
      </c>
      <c r="C454" s="49" t="s">
        <v>169</v>
      </c>
      <c r="D454" s="13" t="s">
        <v>170</v>
      </c>
      <c r="E454" s="19" t="s">
        <v>662</v>
      </c>
      <c r="F454" s="60">
        <v>2111</v>
      </c>
      <c r="G454" s="32">
        <v>2993633.54</v>
      </c>
      <c r="H454" s="87">
        <v>43524</v>
      </c>
      <c r="I454" s="90">
        <v>0</v>
      </c>
      <c r="J454" s="90">
        <f t="shared" si="12"/>
        <v>2993633.54</v>
      </c>
      <c r="K454" s="90" t="str">
        <f t="shared" si="13"/>
        <v>ATRASADO</v>
      </c>
    </row>
    <row r="455" spans="2:11">
      <c r="B455" s="11">
        <v>43555</v>
      </c>
      <c r="C455" s="49" t="s">
        <v>169</v>
      </c>
      <c r="D455" s="13" t="s">
        <v>170</v>
      </c>
      <c r="E455" s="19" t="s">
        <v>668</v>
      </c>
      <c r="F455" s="60">
        <v>2111</v>
      </c>
      <c r="G455" s="32">
        <v>2122219.84</v>
      </c>
      <c r="H455" s="87">
        <v>43555</v>
      </c>
      <c r="I455" s="90">
        <v>0</v>
      </c>
      <c r="J455" s="90">
        <f t="shared" si="12"/>
        <v>2122219.84</v>
      </c>
      <c r="K455" s="90" t="str">
        <f t="shared" si="13"/>
        <v>ATRASADO</v>
      </c>
    </row>
    <row r="456" spans="2:11">
      <c r="B456" s="11">
        <v>43585</v>
      </c>
      <c r="C456" s="49" t="s">
        <v>169</v>
      </c>
      <c r="D456" s="13" t="s">
        <v>170</v>
      </c>
      <c r="E456" s="19" t="s">
        <v>676</v>
      </c>
      <c r="F456" s="60">
        <v>2111</v>
      </c>
      <c r="G456" s="32">
        <v>1555561.97</v>
      </c>
      <c r="H456" s="87">
        <v>43585</v>
      </c>
      <c r="I456" s="90">
        <v>0</v>
      </c>
      <c r="J456" s="90">
        <f t="shared" si="12"/>
        <v>1555561.97</v>
      </c>
      <c r="K456" s="90" t="str">
        <f t="shared" si="13"/>
        <v>ATRASADO</v>
      </c>
    </row>
    <row r="457" spans="2:11">
      <c r="B457" s="11">
        <v>43616</v>
      </c>
      <c r="C457" s="49" t="s">
        <v>169</v>
      </c>
      <c r="D457" s="13" t="s">
        <v>170</v>
      </c>
      <c r="E457" s="19" t="s">
        <v>687</v>
      </c>
      <c r="F457" s="60">
        <v>2111</v>
      </c>
      <c r="G457" s="32">
        <v>1973081.95</v>
      </c>
      <c r="H457" s="87">
        <v>43616</v>
      </c>
      <c r="I457" s="90">
        <v>0</v>
      </c>
      <c r="J457" s="90">
        <f t="shared" si="12"/>
        <v>1973081.95</v>
      </c>
      <c r="K457" s="90" t="str">
        <f t="shared" si="13"/>
        <v>ATRASADO</v>
      </c>
    </row>
    <row r="458" spans="2:11">
      <c r="B458" s="11">
        <v>43646</v>
      </c>
      <c r="C458" s="49" t="s">
        <v>169</v>
      </c>
      <c r="D458" s="13" t="s">
        <v>170</v>
      </c>
      <c r="E458" s="19" t="s">
        <v>698</v>
      </c>
      <c r="F458" s="60">
        <v>2111</v>
      </c>
      <c r="G458" s="32">
        <v>2245627.08</v>
      </c>
      <c r="H458" s="87">
        <v>43646</v>
      </c>
      <c r="I458" s="90">
        <v>0</v>
      </c>
      <c r="J458" s="90">
        <f t="shared" si="12"/>
        <v>2245627.08</v>
      </c>
      <c r="K458" s="90" t="str">
        <f t="shared" si="13"/>
        <v>ATRASADO</v>
      </c>
    </row>
    <row r="459" spans="2:11">
      <c r="B459" s="11">
        <v>43677</v>
      </c>
      <c r="C459" s="49" t="s">
        <v>169</v>
      </c>
      <c r="D459" s="13" t="s">
        <v>170</v>
      </c>
      <c r="E459" s="19" t="s">
        <v>706</v>
      </c>
      <c r="F459" s="60">
        <v>2111</v>
      </c>
      <c r="G459" s="32">
        <v>1857362.11</v>
      </c>
      <c r="H459" s="87">
        <v>43677</v>
      </c>
      <c r="I459" s="90">
        <v>0</v>
      </c>
      <c r="J459" s="90">
        <f t="shared" si="12"/>
        <v>1857362.11</v>
      </c>
      <c r="K459" s="90" t="str">
        <f t="shared" si="13"/>
        <v>ATRASADO</v>
      </c>
    </row>
    <row r="460" spans="2:11">
      <c r="B460" s="11">
        <v>43708</v>
      </c>
      <c r="C460" s="49" t="s">
        <v>169</v>
      </c>
      <c r="D460" s="13" t="s">
        <v>170</v>
      </c>
      <c r="E460" s="19" t="s">
        <v>714</v>
      </c>
      <c r="F460" s="60">
        <v>2111</v>
      </c>
      <c r="G460" s="32">
        <v>1920933.16</v>
      </c>
      <c r="H460" s="87">
        <v>43708</v>
      </c>
      <c r="I460" s="90">
        <v>0</v>
      </c>
      <c r="J460" s="90">
        <f t="shared" si="12"/>
        <v>1920933.16</v>
      </c>
      <c r="K460" s="90" t="str">
        <f t="shared" si="13"/>
        <v>ATRASADO</v>
      </c>
    </row>
    <row r="461" spans="2:11">
      <c r="B461" s="11">
        <v>43738</v>
      </c>
      <c r="C461" s="49" t="s">
        <v>169</v>
      </c>
      <c r="D461" s="13" t="s">
        <v>170</v>
      </c>
      <c r="E461" s="19" t="s">
        <v>724</v>
      </c>
      <c r="F461" s="60">
        <v>2111</v>
      </c>
      <c r="G461" s="32">
        <v>1975993.12</v>
      </c>
      <c r="H461" s="87">
        <v>43738</v>
      </c>
      <c r="I461" s="90">
        <v>0</v>
      </c>
      <c r="J461" s="90">
        <f t="shared" si="12"/>
        <v>1975993.12</v>
      </c>
      <c r="K461" s="90" t="str">
        <f t="shared" si="13"/>
        <v>ATRASADO</v>
      </c>
    </row>
    <row r="462" spans="2:11">
      <c r="B462" s="11">
        <v>43769</v>
      </c>
      <c r="C462" s="49" t="s">
        <v>169</v>
      </c>
      <c r="D462" s="13" t="s">
        <v>170</v>
      </c>
      <c r="E462" s="19" t="s">
        <v>725</v>
      </c>
      <c r="F462" s="60">
        <v>2111</v>
      </c>
      <c r="G462" s="32">
        <v>2503172.21</v>
      </c>
      <c r="H462" s="87">
        <v>43769</v>
      </c>
      <c r="I462" s="90">
        <v>0</v>
      </c>
      <c r="J462" s="90">
        <f t="shared" si="12"/>
        <v>2503172.21</v>
      </c>
      <c r="K462" s="90" t="str">
        <f t="shared" si="13"/>
        <v>ATRASADO</v>
      </c>
    </row>
    <row r="463" spans="2:11">
      <c r="B463" s="11">
        <v>43799</v>
      </c>
      <c r="C463" s="49" t="s">
        <v>169</v>
      </c>
      <c r="D463" s="13" t="s">
        <v>170</v>
      </c>
      <c r="E463" s="19" t="s">
        <v>733</v>
      </c>
      <c r="F463" s="60">
        <v>2111</v>
      </c>
      <c r="G463" s="32">
        <v>2164909.46</v>
      </c>
      <c r="H463" s="87">
        <v>43799</v>
      </c>
      <c r="I463" s="90">
        <v>0</v>
      </c>
      <c r="J463" s="90">
        <f t="shared" si="12"/>
        <v>2164909.46</v>
      </c>
      <c r="K463" s="90" t="str">
        <f t="shared" si="13"/>
        <v>ATRASADO</v>
      </c>
    </row>
    <row r="464" spans="2:11">
      <c r="B464" s="11">
        <v>43830</v>
      </c>
      <c r="C464" s="49" t="s">
        <v>169</v>
      </c>
      <c r="D464" s="13" t="s">
        <v>170</v>
      </c>
      <c r="E464" s="19" t="s">
        <v>737</v>
      </c>
      <c r="F464" s="60">
        <v>2111</v>
      </c>
      <c r="G464" s="32">
        <v>2298628.69</v>
      </c>
      <c r="H464" s="87">
        <v>43830</v>
      </c>
      <c r="I464" s="90">
        <v>0</v>
      </c>
      <c r="J464" s="90">
        <f t="shared" ref="J464:J527" si="14">IF(G464&gt;0,G464,"")</f>
        <v>2298628.69</v>
      </c>
      <c r="K464" s="90" t="str">
        <f t="shared" si="13"/>
        <v>ATRASADO</v>
      </c>
    </row>
    <row r="465" spans="2:11">
      <c r="B465" s="11">
        <v>43861</v>
      </c>
      <c r="C465" s="49" t="s">
        <v>169</v>
      </c>
      <c r="D465" s="13" t="s">
        <v>170</v>
      </c>
      <c r="E465" s="19" t="s">
        <v>749</v>
      </c>
      <c r="F465" s="60">
        <v>2111</v>
      </c>
      <c r="G465" s="32">
        <v>2513043.1800000002</v>
      </c>
      <c r="H465" s="87">
        <v>43861</v>
      </c>
      <c r="I465" s="90">
        <v>0</v>
      </c>
      <c r="J465" s="90">
        <f t="shared" si="14"/>
        <v>2513043.1800000002</v>
      </c>
      <c r="K465" s="90" t="str">
        <f t="shared" si="13"/>
        <v>ATRASADO</v>
      </c>
    </row>
    <row r="466" spans="2:11">
      <c r="B466" s="11">
        <v>43890</v>
      </c>
      <c r="C466" s="49" t="s">
        <v>169</v>
      </c>
      <c r="D466" s="13" t="s">
        <v>170</v>
      </c>
      <c r="E466" s="19" t="s">
        <v>755</v>
      </c>
      <c r="F466" s="60">
        <v>2111</v>
      </c>
      <c r="G466" s="32">
        <v>2910724.1</v>
      </c>
      <c r="H466" s="87">
        <v>43890</v>
      </c>
      <c r="I466" s="90">
        <v>0</v>
      </c>
      <c r="J466" s="90">
        <f t="shared" si="14"/>
        <v>2910724.1</v>
      </c>
      <c r="K466" s="90" t="str">
        <f t="shared" si="13"/>
        <v>ATRASADO</v>
      </c>
    </row>
    <row r="467" spans="2:11">
      <c r="B467" s="11" t="s">
        <v>849</v>
      </c>
      <c r="C467" s="49" t="s">
        <v>169</v>
      </c>
      <c r="D467" s="13" t="s">
        <v>170</v>
      </c>
      <c r="E467" s="19" t="s">
        <v>851</v>
      </c>
      <c r="F467" s="60">
        <v>2111</v>
      </c>
      <c r="G467" s="32">
        <f>2264262.45</f>
        <v>2264262.4500000002</v>
      </c>
      <c r="H467" s="87" t="s">
        <v>849</v>
      </c>
      <c r="I467" s="90">
        <v>0</v>
      </c>
      <c r="J467" s="90">
        <f t="shared" si="14"/>
        <v>2264262.4500000002</v>
      </c>
      <c r="K467" s="90" t="str">
        <f t="shared" si="13"/>
        <v>ATRASADO</v>
      </c>
    </row>
    <row r="468" spans="2:11">
      <c r="B468" s="11" t="s">
        <v>855</v>
      </c>
      <c r="C468" s="49" t="s">
        <v>169</v>
      </c>
      <c r="D468" s="13" t="s">
        <v>170</v>
      </c>
      <c r="E468" s="19" t="s">
        <v>856</v>
      </c>
      <c r="F468" s="60">
        <v>2111</v>
      </c>
      <c r="G468" s="32">
        <v>3489504.48</v>
      </c>
      <c r="H468" s="87" t="s">
        <v>855</v>
      </c>
      <c r="I468" s="90">
        <v>0</v>
      </c>
      <c r="J468" s="90">
        <f t="shared" si="14"/>
        <v>3489504.48</v>
      </c>
      <c r="K468" s="90" t="str">
        <f t="shared" si="13"/>
        <v>ATRASADO</v>
      </c>
    </row>
    <row r="469" spans="2:11">
      <c r="B469" s="11">
        <v>43982</v>
      </c>
      <c r="C469" s="49" t="s">
        <v>169</v>
      </c>
      <c r="D469" s="13" t="s">
        <v>170</v>
      </c>
      <c r="E469" s="19" t="s">
        <v>861</v>
      </c>
      <c r="F469" s="60">
        <v>2111</v>
      </c>
      <c r="G469" s="32">
        <v>2650604.2000000002</v>
      </c>
      <c r="H469" s="87">
        <v>43982</v>
      </c>
      <c r="I469" s="90">
        <v>0</v>
      </c>
      <c r="J469" s="90">
        <f t="shared" si="14"/>
        <v>2650604.2000000002</v>
      </c>
      <c r="K469" s="90" t="str">
        <f t="shared" si="13"/>
        <v>ATRASADO</v>
      </c>
    </row>
    <row r="470" spans="2:11">
      <c r="B470" s="11">
        <v>44012</v>
      </c>
      <c r="C470" s="49" t="s">
        <v>169</v>
      </c>
      <c r="D470" s="13" t="s">
        <v>170</v>
      </c>
      <c r="E470" s="19" t="s">
        <v>865</v>
      </c>
      <c r="F470" s="60">
        <v>2111</v>
      </c>
      <c r="G470" s="32">
        <f>3148070.43+0.49+0.09</f>
        <v>3148071.0100000002</v>
      </c>
      <c r="H470" s="87">
        <v>44012</v>
      </c>
      <c r="I470" s="90">
        <v>0</v>
      </c>
      <c r="J470" s="90">
        <f t="shared" si="14"/>
        <v>3148071.0100000002</v>
      </c>
      <c r="K470" s="90" t="str">
        <f t="shared" si="13"/>
        <v>ATRASADO</v>
      </c>
    </row>
    <row r="471" spans="2:11">
      <c r="B471" s="11">
        <v>44043</v>
      </c>
      <c r="C471" s="49" t="s">
        <v>169</v>
      </c>
      <c r="D471" s="13" t="s">
        <v>170</v>
      </c>
      <c r="E471" s="19" t="s">
        <v>872</v>
      </c>
      <c r="F471" s="60">
        <v>2111</v>
      </c>
      <c r="G471" s="32">
        <f>5123493.62-138796.68-4949.02-44460</f>
        <v>4935287.9200000009</v>
      </c>
      <c r="H471" s="87">
        <v>44043</v>
      </c>
      <c r="I471" s="90">
        <v>0</v>
      </c>
      <c r="J471" s="90">
        <f t="shared" si="14"/>
        <v>4935287.9200000009</v>
      </c>
      <c r="K471" s="90" t="str">
        <f t="shared" si="13"/>
        <v>ATRASADO</v>
      </c>
    </row>
    <row r="472" spans="2:11" s="14" customFormat="1">
      <c r="B472" s="11" t="s">
        <v>920</v>
      </c>
      <c r="C472" s="49" t="s">
        <v>169</v>
      </c>
      <c r="D472" s="13" t="s">
        <v>170</v>
      </c>
      <c r="E472" s="19" t="s">
        <v>938</v>
      </c>
      <c r="F472" s="60">
        <v>2111</v>
      </c>
      <c r="G472" s="32">
        <f>4131568.31-3250412.63</f>
        <v>881155.68000000017</v>
      </c>
      <c r="H472" s="87" t="s">
        <v>901</v>
      </c>
      <c r="I472" s="90">
        <v>0</v>
      </c>
      <c r="J472" s="90">
        <f t="shared" si="14"/>
        <v>881155.68000000017</v>
      </c>
      <c r="K472" s="90" t="str">
        <f t="shared" si="13"/>
        <v>ATRASADO</v>
      </c>
    </row>
    <row r="473" spans="2:11" s="14" customFormat="1">
      <c r="B473" s="11" t="s">
        <v>942</v>
      </c>
      <c r="C473" s="49" t="s">
        <v>169</v>
      </c>
      <c r="D473" s="13" t="s">
        <v>170</v>
      </c>
      <c r="E473" s="19" t="s">
        <v>943</v>
      </c>
      <c r="F473" s="60">
        <v>2111</v>
      </c>
      <c r="G473" s="32">
        <f>3912704.16-3463844.09</f>
        <v>448860.0700000003</v>
      </c>
      <c r="H473" s="87" t="s">
        <v>942</v>
      </c>
      <c r="I473" s="90">
        <v>0</v>
      </c>
      <c r="J473" s="90">
        <f t="shared" si="14"/>
        <v>448860.0700000003</v>
      </c>
      <c r="K473" s="90" t="str">
        <f t="shared" si="13"/>
        <v>ATRASADO</v>
      </c>
    </row>
    <row r="474" spans="2:11" s="14" customFormat="1">
      <c r="B474" s="11" t="s">
        <v>972</v>
      </c>
      <c r="C474" s="49" t="s">
        <v>169</v>
      </c>
      <c r="D474" s="13" t="s">
        <v>170</v>
      </c>
      <c r="E474" s="19" t="s">
        <v>973</v>
      </c>
      <c r="F474" s="60">
        <v>2111</v>
      </c>
      <c r="G474" s="32">
        <v>5674823.2400000002</v>
      </c>
      <c r="H474" s="87" t="s">
        <v>972</v>
      </c>
      <c r="I474" s="90">
        <v>0</v>
      </c>
      <c r="J474" s="90">
        <f t="shared" si="14"/>
        <v>5674823.2400000002</v>
      </c>
      <c r="K474" s="90" t="str">
        <f t="shared" si="13"/>
        <v>ATRASADO</v>
      </c>
    </row>
    <row r="475" spans="2:11">
      <c r="B475" s="11">
        <v>41137</v>
      </c>
      <c r="C475" s="49" t="s">
        <v>169</v>
      </c>
      <c r="D475" s="13" t="s">
        <v>170</v>
      </c>
      <c r="E475" s="19" t="s">
        <v>438</v>
      </c>
      <c r="F475" s="60">
        <v>2111</v>
      </c>
      <c r="G475" s="32">
        <f>93977629.32-32824180.22</f>
        <v>61153449.099999994</v>
      </c>
      <c r="H475" s="87">
        <v>41137</v>
      </c>
      <c r="I475" s="90">
        <v>0</v>
      </c>
      <c r="J475" s="90">
        <f t="shared" si="14"/>
        <v>61153449.099999994</v>
      </c>
      <c r="K475" s="90" t="str">
        <f t="shared" si="13"/>
        <v>ATRASADO</v>
      </c>
    </row>
    <row r="476" spans="2:11">
      <c r="B476" s="11">
        <v>39691</v>
      </c>
      <c r="C476" s="49" t="s">
        <v>169</v>
      </c>
      <c r="D476" s="13" t="s">
        <v>170</v>
      </c>
      <c r="E476" s="19" t="s">
        <v>438</v>
      </c>
      <c r="F476" s="60">
        <v>2111</v>
      </c>
      <c r="G476" s="32">
        <v>16850933</v>
      </c>
      <c r="H476" s="87">
        <v>39691</v>
      </c>
      <c r="I476" s="90">
        <v>0</v>
      </c>
      <c r="J476" s="90">
        <f t="shared" si="14"/>
        <v>16850933</v>
      </c>
      <c r="K476" s="90" t="str">
        <f t="shared" si="13"/>
        <v>ATRASADO</v>
      </c>
    </row>
    <row r="477" spans="2:11">
      <c r="B477" s="11"/>
      <c r="C477" s="49"/>
      <c r="D477" s="13"/>
      <c r="E477" s="19"/>
      <c r="F477" s="60"/>
      <c r="G477" s="32"/>
      <c r="H477" s="87"/>
      <c r="I477" s="90"/>
      <c r="J477" s="90" t="str">
        <f t="shared" si="14"/>
        <v/>
      </c>
      <c r="K477" s="90"/>
    </row>
    <row r="478" spans="2:11" ht="24.75">
      <c r="B478" s="29">
        <v>43489</v>
      </c>
      <c r="C478" s="28" t="s">
        <v>660</v>
      </c>
      <c r="D478" s="13" t="s">
        <v>652</v>
      </c>
      <c r="E478" s="19" t="s">
        <v>164</v>
      </c>
      <c r="F478" s="60">
        <v>2371</v>
      </c>
      <c r="G478" s="32">
        <v>300000</v>
      </c>
      <c r="H478" s="212">
        <v>43489</v>
      </c>
      <c r="I478" s="90">
        <v>0</v>
      </c>
      <c r="J478" s="90">
        <f t="shared" si="14"/>
        <v>300000</v>
      </c>
      <c r="K478" s="90" t="str">
        <f t="shared" si="13"/>
        <v>ATRASADO</v>
      </c>
    </row>
    <row r="479" spans="2:11" ht="24.75">
      <c r="B479" s="29">
        <v>43489</v>
      </c>
      <c r="C479" s="28" t="s">
        <v>675</v>
      </c>
      <c r="D479" s="13" t="s">
        <v>652</v>
      </c>
      <c r="E479" s="19" t="s">
        <v>164</v>
      </c>
      <c r="F479" s="60">
        <v>2371</v>
      </c>
      <c r="G479" s="32">
        <v>103440</v>
      </c>
      <c r="H479" s="212">
        <v>43489</v>
      </c>
      <c r="I479" s="90">
        <v>0</v>
      </c>
      <c r="J479" s="90">
        <f t="shared" si="14"/>
        <v>103440</v>
      </c>
      <c r="K479" s="90" t="str">
        <f t="shared" si="13"/>
        <v>ATRASADO</v>
      </c>
    </row>
    <row r="480" spans="2:11">
      <c r="B480" s="29"/>
      <c r="C480" s="69"/>
      <c r="D480" s="13"/>
      <c r="E480" s="19"/>
      <c r="F480" s="60"/>
      <c r="G480" s="32"/>
      <c r="H480" s="212"/>
      <c r="I480" s="90"/>
      <c r="J480" s="90" t="str">
        <f t="shared" si="14"/>
        <v/>
      </c>
      <c r="K480" s="90"/>
    </row>
    <row r="481" spans="2:11">
      <c r="B481" s="29" t="s">
        <v>1465</v>
      </c>
      <c r="C481" s="69" t="s">
        <v>1466</v>
      </c>
      <c r="D481" s="13" t="s">
        <v>1467</v>
      </c>
      <c r="E481" s="19" t="s">
        <v>1374</v>
      </c>
      <c r="F481" s="60">
        <v>2288</v>
      </c>
      <c r="G481" s="32">
        <v>39000</v>
      </c>
      <c r="H481" s="212" t="s">
        <v>1465</v>
      </c>
      <c r="I481" s="90">
        <v>0</v>
      </c>
      <c r="J481" s="90">
        <f t="shared" si="14"/>
        <v>39000</v>
      </c>
      <c r="K481" s="90" t="str">
        <f t="shared" si="13"/>
        <v>ATRASADO</v>
      </c>
    </row>
    <row r="482" spans="2:11">
      <c r="B482" s="29"/>
      <c r="C482" s="69"/>
      <c r="D482" s="13"/>
      <c r="E482" s="19"/>
      <c r="F482" s="60"/>
      <c r="G482" s="32"/>
      <c r="H482" s="212"/>
      <c r="I482" s="90"/>
      <c r="J482" s="90" t="str">
        <f t="shared" si="14"/>
        <v/>
      </c>
      <c r="K482" s="90"/>
    </row>
    <row r="483" spans="2:11">
      <c r="B483" s="10">
        <v>41212</v>
      </c>
      <c r="C483" s="16" t="s">
        <v>47</v>
      </c>
      <c r="D483" s="13" t="s">
        <v>38</v>
      </c>
      <c r="E483" s="19" t="s">
        <v>21</v>
      </c>
      <c r="F483" s="60">
        <v>2251</v>
      </c>
      <c r="G483" s="32">
        <v>12888.88</v>
      </c>
      <c r="H483" s="208">
        <v>41212</v>
      </c>
      <c r="I483" s="90">
        <v>0</v>
      </c>
      <c r="J483" s="90">
        <f t="shared" si="14"/>
        <v>12888.88</v>
      </c>
      <c r="K483" s="90" t="str">
        <f t="shared" si="13"/>
        <v>ATRASADO</v>
      </c>
    </row>
    <row r="484" spans="2:11">
      <c r="B484" s="10">
        <v>41242</v>
      </c>
      <c r="C484" s="16" t="s">
        <v>37</v>
      </c>
      <c r="D484" s="13" t="s">
        <v>38</v>
      </c>
      <c r="E484" s="19" t="s">
        <v>21</v>
      </c>
      <c r="F484" s="60">
        <v>2251</v>
      </c>
      <c r="G484" s="32">
        <v>12888.88</v>
      </c>
      <c r="H484" s="208">
        <v>41242</v>
      </c>
      <c r="I484" s="90">
        <v>0</v>
      </c>
      <c r="J484" s="90">
        <f t="shared" si="14"/>
        <v>12888.88</v>
      </c>
      <c r="K484" s="90" t="str">
        <f t="shared" si="13"/>
        <v>ATRASADO</v>
      </c>
    </row>
    <row r="485" spans="2:11">
      <c r="B485" s="10">
        <v>41272</v>
      </c>
      <c r="C485" s="16" t="s">
        <v>39</v>
      </c>
      <c r="D485" s="13" t="s">
        <v>38</v>
      </c>
      <c r="E485" s="19" t="s">
        <v>21</v>
      </c>
      <c r="F485" s="60">
        <v>2251</v>
      </c>
      <c r="G485" s="32">
        <v>12888.88</v>
      </c>
      <c r="H485" s="208">
        <v>41272</v>
      </c>
      <c r="I485" s="90">
        <v>0</v>
      </c>
      <c r="J485" s="90">
        <f t="shared" si="14"/>
        <v>12888.88</v>
      </c>
      <c r="K485" s="90" t="str">
        <f t="shared" si="13"/>
        <v>ATRASADO</v>
      </c>
    </row>
    <row r="486" spans="2:11">
      <c r="B486" s="10">
        <v>41305</v>
      </c>
      <c r="C486" s="16" t="s">
        <v>40</v>
      </c>
      <c r="D486" s="13" t="s">
        <v>38</v>
      </c>
      <c r="E486" s="19" t="s">
        <v>21</v>
      </c>
      <c r="F486" s="60">
        <v>2251</v>
      </c>
      <c r="G486" s="32">
        <v>12888.88</v>
      </c>
      <c r="H486" s="208">
        <v>41305</v>
      </c>
      <c r="I486" s="90">
        <v>0</v>
      </c>
      <c r="J486" s="90">
        <f t="shared" si="14"/>
        <v>12888.88</v>
      </c>
      <c r="K486" s="90" t="str">
        <f t="shared" si="13"/>
        <v>ATRASADO</v>
      </c>
    </row>
    <row r="487" spans="2:11">
      <c r="B487" s="10">
        <v>41333</v>
      </c>
      <c r="C487" s="16" t="s">
        <v>41</v>
      </c>
      <c r="D487" s="13" t="s">
        <v>38</v>
      </c>
      <c r="E487" s="19" t="s">
        <v>21</v>
      </c>
      <c r="F487" s="60">
        <v>2251</v>
      </c>
      <c r="G487" s="32">
        <v>12888.88</v>
      </c>
      <c r="H487" s="208">
        <v>41333</v>
      </c>
      <c r="I487" s="90">
        <v>0</v>
      </c>
      <c r="J487" s="90">
        <f t="shared" si="14"/>
        <v>12888.88</v>
      </c>
      <c r="K487" s="90" t="str">
        <f t="shared" si="13"/>
        <v>ATRASADO</v>
      </c>
    </row>
    <row r="488" spans="2:11">
      <c r="B488" s="10">
        <v>41364</v>
      </c>
      <c r="C488" s="16" t="s">
        <v>42</v>
      </c>
      <c r="D488" s="13" t="s">
        <v>38</v>
      </c>
      <c r="E488" s="19" t="s">
        <v>21</v>
      </c>
      <c r="F488" s="60">
        <v>2251</v>
      </c>
      <c r="G488" s="32">
        <v>12888.88</v>
      </c>
      <c r="H488" s="208">
        <v>41364</v>
      </c>
      <c r="I488" s="90">
        <v>0</v>
      </c>
      <c r="J488" s="90">
        <f t="shared" si="14"/>
        <v>12888.88</v>
      </c>
      <c r="K488" s="90" t="str">
        <f t="shared" si="13"/>
        <v>ATRASADO</v>
      </c>
    </row>
    <row r="489" spans="2:11">
      <c r="B489" s="10">
        <v>41394</v>
      </c>
      <c r="C489" s="16" t="s">
        <v>43</v>
      </c>
      <c r="D489" s="13" t="s">
        <v>38</v>
      </c>
      <c r="E489" s="19" t="s">
        <v>21</v>
      </c>
      <c r="F489" s="60">
        <v>2251</v>
      </c>
      <c r="G489" s="32">
        <v>12888.88</v>
      </c>
      <c r="H489" s="208">
        <v>41394</v>
      </c>
      <c r="I489" s="90">
        <v>0</v>
      </c>
      <c r="J489" s="90">
        <f t="shared" si="14"/>
        <v>12888.88</v>
      </c>
      <c r="K489" s="90" t="str">
        <f t="shared" si="13"/>
        <v>ATRASADO</v>
      </c>
    </row>
    <row r="490" spans="2:11">
      <c r="B490" s="10">
        <v>41423</v>
      </c>
      <c r="C490" s="16" t="s">
        <v>44</v>
      </c>
      <c r="D490" s="13" t="s">
        <v>38</v>
      </c>
      <c r="E490" s="19" t="s">
        <v>21</v>
      </c>
      <c r="F490" s="60">
        <v>2251</v>
      </c>
      <c r="G490" s="32">
        <v>12888.88</v>
      </c>
      <c r="H490" s="208">
        <v>41423</v>
      </c>
      <c r="I490" s="90">
        <v>0</v>
      </c>
      <c r="J490" s="90">
        <f t="shared" si="14"/>
        <v>12888.88</v>
      </c>
      <c r="K490" s="90" t="str">
        <f t="shared" si="13"/>
        <v>ATRASADO</v>
      </c>
    </row>
    <row r="491" spans="2:11">
      <c r="B491" s="10">
        <v>41454</v>
      </c>
      <c r="C491" s="16" t="s">
        <v>30</v>
      </c>
      <c r="D491" s="13" t="s">
        <v>38</v>
      </c>
      <c r="E491" s="19" t="s">
        <v>21</v>
      </c>
      <c r="F491" s="60">
        <v>2251</v>
      </c>
      <c r="G491" s="32">
        <v>12888.88</v>
      </c>
      <c r="H491" s="208">
        <v>41454</v>
      </c>
      <c r="I491" s="90">
        <v>0</v>
      </c>
      <c r="J491" s="90">
        <f t="shared" si="14"/>
        <v>12888.88</v>
      </c>
      <c r="K491" s="90" t="str">
        <f t="shared" ref="K491:K554" si="15">IF(J491&gt;0,"ATRASADO","")</f>
        <v>ATRASADO</v>
      </c>
    </row>
    <row r="492" spans="2:11">
      <c r="B492" s="10">
        <v>41484</v>
      </c>
      <c r="C492" s="16" t="s">
        <v>32</v>
      </c>
      <c r="D492" s="13" t="s">
        <v>38</v>
      </c>
      <c r="E492" s="19" t="s">
        <v>21</v>
      </c>
      <c r="F492" s="60">
        <v>2251</v>
      </c>
      <c r="G492" s="32">
        <v>12888.88</v>
      </c>
      <c r="H492" s="208">
        <v>41484</v>
      </c>
      <c r="I492" s="90">
        <v>0</v>
      </c>
      <c r="J492" s="90">
        <f t="shared" si="14"/>
        <v>12888.88</v>
      </c>
      <c r="K492" s="90" t="str">
        <f t="shared" si="15"/>
        <v>ATRASADO</v>
      </c>
    </row>
    <row r="493" spans="2:11">
      <c r="B493" s="10">
        <v>41501</v>
      </c>
      <c r="C493" s="16" t="s">
        <v>33</v>
      </c>
      <c r="D493" s="13" t="s">
        <v>38</v>
      </c>
      <c r="E493" s="19" t="s">
        <v>21</v>
      </c>
      <c r="F493" s="60">
        <v>2251</v>
      </c>
      <c r="G493" s="32">
        <v>12888.88</v>
      </c>
      <c r="H493" s="208">
        <v>41501</v>
      </c>
      <c r="I493" s="90">
        <v>0</v>
      </c>
      <c r="J493" s="90">
        <f t="shared" si="14"/>
        <v>12888.88</v>
      </c>
      <c r="K493" s="90" t="str">
        <f t="shared" si="15"/>
        <v>ATRASADO</v>
      </c>
    </row>
    <row r="494" spans="2:11">
      <c r="B494" s="10">
        <v>41547</v>
      </c>
      <c r="C494" s="16" t="s">
        <v>45</v>
      </c>
      <c r="D494" s="13" t="s">
        <v>38</v>
      </c>
      <c r="E494" s="19" t="s">
        <v>21</v>
      </c>
      <c r="F494" s="60">
        <v>2251</v>
      </c>
      <c r="G494" s="32">
        <v>12888.88</v>
      </c>
      <c r="H494" s="208">
        <v>41547</v>
      </c>
      <c r="I494" s="90">
        <v>0</v>
      </c>
      <c r="J494" s="90">
        <f t="shared" si="14"/>
        <v>12888.88</v>
      </c>
      <c r="K494" s="90" t="str">
        <f t="shared" si="15"/>
        <v>ATRASADO</v>
      </c>
    </row>
    <row r="495" spans="2:11">
      <c r="B495" s="10">
        <v>41577</v>
      </c>
      <c r="C495" s="16" t="s">
        <v>46</v>
      </c>
      <c r="D495" s="13" t="s">
        <v>38</v>
      </c>
      <c r="E495" s="19" t="s">
        <v>21</v>
      </c>
      <c r="F495" s="60">
        <v>2251</v>
      </c>
      <c r="G495" s="32">
        <v>12888.88</v>
      </c>
      <c r="H495" s="208">
        <v>41577</v>
      </c>
      <c r="I495" s="90">
        <v>0</v>
      </c>
      <c r="J495" s="90">
        <f t="shared" si="14"/>
        <v>12888.88</v>
      </c>
      <c r="K495" s="90" t="str">
        <f t="shared" si="15"/>
        <v>ATRASADO</v>
      </c>
    </row>
    <row r="496" spans="2:11">
      <c r="B496" s="10">
        <v>40815</v>
      </c>
      <c r="C496" s="16" t="s">
        <v>442</v>
      </c>
      <c r="D496" s="13" t="s">
        <v>38</v>
      </c>
      <c r="E496" s="19" t="s">
        <v>21</v>
      </c>
      <c r="F496" s="60">
        <v>2251</v>
      </c>
      <c r="G496" s="32">
        <v>103111.03999999999</v>
      </c>
      <c r="H496" s="208">
        <v>40815</v>
      </c>
      <c r="I496" s="90">
        <v>0</v>
      </c>
      <c r="J496" s="90">
        <f t="shared" si="14"/>
        <v>103111.03999999999</v>
      </c>
      <c r="K496" s="90" t="str">
        <f t="shared" si="15"/>
        <v>ATRASADO</v>
      </c>
    </row>
    <row r="497" spans="2:11">
      <c r="B497" s="10"/>
      <c r="C497" s="16"/>
      <c r="D497" s="13"/>
      <c r="E497" s="19"/>
      <c r="F497" s="60"/>
      <c r="G497" s="32"/>
      <c r="H497" s="208"/>
      <c r="I497" s="90"/>
      <c r="J497" s="90" t="str">
        <f t="shared" si="14"/>
        <v/>
      </c>
      <c r="K497" s="90"/>
    </row>
    <row r="498" spans="2:11">
      <c r="B498" s="29">
        <v>41243</v>
      </c>
      <c r="C498" s="16">
        <v>6315</v>
      </c>
      <c r="D498" s="13" t="s">
        <v>147</v>
      </c>
      <c r="E498" s="19" t="s">
        <v>468</v>
      </c>
      <c r="F498" s="60">
        <v>2221</v>
      </c>
      <c r="G498" s="32">
        <v>29064.959999999999</v>
      </c>
      <c r="H498" s="212">
        <v>41243</v>
      </c>
      <c r="I498" s="90">
        <v>0</v>
      </c>
      <c r="J498" s="90">
        <f t="shared" si="14"/>
        <v>29064.959999999999</v>
      </c>
      <c r="K498" s="90" t="str">
        <f t="shared" si="15"/>
        <v>ATRASADO</v>
      </c>
    </row>
    <row r="499" spans="2:11">
      <c r="B499" s="29">
        <v>42100</v>
      </c>
      <c r="C499" s="16">
        <v>1500002149</v>
      </c>
      <c r="D499" s="13" t="s">
        <v>147</v>
      </c>
      <c r="E499" s="19" t="s">
        <v>468</v>
      </c>
      <c r="F499" s="60">
        <v>2221</v>
      </c>
      <c r="G499" s="32">
        <v>9300</v>
      </c>
      <c r="H499" s="212">
        <v>42100</v>
      </c>
      <c r="I499" s="90">
        <v>0</v>
      </c>
      <c r="J499" s="90">
        <f t="shared" si="14"/>
        <v>9300</v>
      </c>
      <c r="K499" s="90" t="str">
        <f t="shared" si="15"/>
        <v>ATRASADO</v>
      </c>
    </row>
    <row r="500" spans="2:11">
      <c r="B500" s="29">
        <v>41733</v>
      </c>
      <c r="C500" s="16">
        <v>1500005568</v>
      </c>
      <c r="D500" s="13" t="s">
        <v>147</v>
      </c>
      <c r="E500" s="19" t="s">
        <v>468</v>
      </c>
      <c r="F500" s="60">
        <v>2221</v>
      </c>
      <c r="G500" s="32">
        <v>62829.01</v>
      </c>
      <c r="H500" s="212">
        <v>41733</v>
      </c>
      <c r="I500" s="90">
        <v>0</v>
      </c>
      <c r="J500" s="90">
        <f t="shared" si="14"/>
        <v>62829.01</v>
      </c>
      <c r="K500" s="90" t="str">
        <f t="shared" si="15"/>
        <v>ATRASADO</v>
      </c>
    </row>
    <row r="501" spans="2:11">
      <c r="B501" s="29">
        <v>42165</v>
      </c>
      <c r="C501" s="16">
        <v>1500005708</v>
      </c>
      <c r="D501" s="13" t="s">
        <v>147</v>
      </c>
      <c r="E501" s="19" t="s">
        <v>468</v>
      </c>
      <c r="F501" s="60">
        <v>2221</v>
      </c>
      <c r="G501" s="32">
        <v>62829.01</v>
      </c>
      <c r="H501" s="212">
        <v>42165</v>
      </c>
      <c r="I501" s="90">
        <v>0</v>
      </c>
      <c r="J501" s="90">
        <f t="shared" si="14"/>
        <v>62829.01</v>
      </c>
      <c r="K501" s="90" t="str">
        <f t="shared" si="15"/>
        <v>ATRASADO</v>
      </c>
    </row>
    <row r="502" spans="2:11">
      <c r="B502" s="29" t="s">
        <v>892</v>
      </c>
      <c r="C502" s="16" t="s">
        <v>1468</v>
      </c>
      <c r="D502" s="13" t="s">
        <v>147</v>
      </c>
      <c r="E502" s="19" t="s">
        <v>468</v>
      </c>
      <c r="F502" s="60">
        <v>2221</v>
      </c>
      <c r="G502" s="32">
        <v>33040</v>
      </c>
      <c r="H502" s="212" t="s">
        <v>892</v>
      </c>
      <c r="I502" s="90">
        <v>0</v>
      </c>
      <c r="J502" s="90">
        <f t="shared" si="14"/>
        <v>33040</v>
      </c>
      <c r="K502" s="90" t="str">
        <f t="shared" si="15"/>
        <v>ATRASADO</v>
      </c>
    </row>
    <row r="503" spans="2:11">
      <c r="B503" s="29"/>
      <c r="C503" s="16"/>
      <c r="D503" s="13"/>
      <c r="E503" s="19"/>
      <c r="F503" s="60"/>
      <c r="G503" s="32"/>
      <c r="H503" s="212"/>
      <c r="I503" s="90"/>
      <c r="J503" s="90" t="str">
        <f t="shared" si="14"/>
        <v/>
      </c>
      <c r="K503" s="90"/>
    </row>
    <row r="504" spans="2:11">
      <c r="B504" s="29">
        <v>44505</v>
      </c>
      <c r="C504" s="16" t="s">
        <v>1469</v>
      </c>
      <c r="D504" s="13" t="s">
        <v>1470</v>
      </c>
      <c r="E504" s="19" t="s">
        <v>468</v>
      </c>
      <c r="F504" s="60">
        <v>2221</v>
      </c>
      <c r="G504" s="32">
        <v>59000</v>
      </c>
      <c r="H504" s="212">
        <v>44505</v>
      </c>
      <c r="I504" s="90">
        <v>0</v>
      </c>
      <c r="J504" s="90">
        <f t="shared" si="14"/>
        <v>59000</v>
      </c>
      <c r="K504" s="90" t="str">
        <f t="shared" si="15"/>
        <v>ATRASADO</v>
      </c>
    </row>
    <row r="505" spans="2:11">
      <c r="B505" s="29"/>
      <c r="C505" s="16"/>
      <c r="D505" s="13"/>
      <c r="E505" s="19"/>
      <c r="F505" s="60"/>
      <c r="G505" s="32"/>
      <c r="H505" s="212"/>
      <c r="I505" s="90"/>
      <c r="J505" s="90" t="str">
        <f t="shared" si="14"/>
        <v/>
      </c>
      <c r="K505" s="90"/>
    </row>
    <row r="506" spans="2:11">
      <c r="B506" s="10">
        <v>40791</v>
      </c>
      <c r="C506" s="16">
        <v>19674</v>
      </c>
      <c r="D506" s="13" t="s">
        <v>148</v>
      </c>
      <c r="E506" s="19" t="s">
        <v>468</v>
      </c>
      <c r="F506" s="60">
        <v>2221</v>
      </c>
      <c r="G506" s="32">
        <v>7400</v>
      </c>
      <c r="H506" s="208">
        <v>40791</v>
      </c>
      <c r="I506" s="90">
        <v>0</v>
      </c>
      <c r="J506" s="90">
        <f t="shared" si="14"/>
        <v>7400</v>
      </c>
      <c r="K506" s="90" t="str">
        <f t="shared" si="15"/>
        <v>ATRASADO</v>
      </c>
    </row>
    <row r="507" spans="2:11">
      <c r="B507" s="10">
        <v>42369</v>
      </c>
      <c r="C507" s="16">
        <v>35938</v>
      </c>
      <c r="D507" s="13" t="s">
        <v>148</v>
      </c>
      <c r="E507" s="19" t="s">
        <v>468</v>
      </c>
      <c r="F507" s="60">
        <v>2221</v>
      </c>
      <c r="G507" s="32">
        <v>7400</v>
      </c>
      <c r="H507" s="208">
        <v>42369</v>
      </c>
      <c r="I507" s="90">
        <v>0</v>
      </c>
      <c r="J507" s="90">
        <f t="shared" si="14"/>
        <v>7400</v>
      </c>
      <c r="K507" s="90" t="str">
        <f t="shared" si="15"/>
        <v>ATRASADO</v>
      </c>
    </row>
    <row r="508" spans="2:11">
      <c r="B508" s="10">
        <v>41886</v>
      </c>
      <c r="C508" s="16">
        <v>1500011744</v>
      </c>
      <c r="D508" s="13" t="s">
        <v>148</v>
      </c>
      <c r="E508" s="19" t="s">
        <v>468</v>
      </c>
      <c r="F508" s="60">
        <v>2221</v>
      </c>
      <c r="G508" s="32">
        <v>7400</v>
      </c>
      <c r="H508" s="208">
        <v>41886</v>
      </c>
      <c r="I508" s="90">
        <v>0</v>
      </c>
      <c r="J508" s="90">
        <f t="shared" si="14"/>
        <v>7400</v>
      </c>
      <c r="K508" s="90" t="str">
        <f t="shared" si="15"/>
        <v>ATRASADO</v>
      </c>
    </row>
    <row r="509" spans="2:11">
      <c r="B509" s="10"/>
      <c r="C509" s="16"/>
      <c r="D509" s="13"/>
      <c r="E509" s="19"/>
      <c r="F509" s="60"/>
      <c r="G509" s="32"/>
      <c r="H509" s="208"/>
      <c r="I509" s="90"/>
      <c r="J509" s="90" t="str">
        <f t="shared" si="14"/>
        <v/>
      </c>
      <c r="K509" s="90"/>
    </row>
    <row r="510" spans="2:11">
      <c r="B510" s="29">
        <v>42068</v>
      </c>
      <c r="C510" s="16">
        <v>1500006050</v>
      </c>
      <c r="D510" s="13" t="s">
        <v>149</v>
      </c>
      <c r="E510" s="19" t="s">
        <v>468</v>
      </c>
      <c r="F510" s="60">
        <v>2221</v>
      </c>
      <c r="G510" s="32">
        <v>6900</v>
      </c>
      <c r="H510" s="212">
        <v>42068</v>
      </c>
      <c r="I510" s="90">
        <v>0</v>
      </c>
      <c r="J510" s="90">
        <f t="shared" si="14"/>
        <v>6900</v>
      </c>
      <c r="K510" s="90" t="str">
        <f t="shared" si="15"/>
        <v>ATRASADO</v>
      </c>
    </row>
    <row r="511" spans="2:11">
      <c r="B511" s="11">
        <v>40422</v>
      </c>
      <c r="C511" s="21" t="s">
        <v>288</v>
      </c>
      <c r="D511" s="13" t="s">
        <v>149</v>
      </c>
      <c r="E511" s="19" t="s">
        <v>468</v>
      </c>
      <c r="F511" s="60">
        <v>2221</v>
      </c>
      <c r="G511" s="32">
        <v>6900</v>
      </c>
      <c r="H511" s="87">
        <v>40422</v>
      </c>
      <c r="I511" s="90">
        <v>0</v>
      </c>
      <c r="J511" s="90">
        <f t="shared" si="14"/>
        <v>6900</v>
      </c>
      <c r="K511" s="90" t="str">
        <f t="shared" si="15"/>
        <v>ATRASADO</v>
      </c>
    </row>
    <row r="512" spans="2:11">
      <c r="B512" s="11"/>
      <c r="C512" s="21"/>
      <c r="D512" s="13"/>
      <c r="E512" s="19"/>
      <c r="F512" s="60"/>
      <c r="G512" s="32"/>
      <c r="H512" s="87"/>
      <c r="I512" s="90"/>
      <c r="J512" s="90" t="str">
        <f t="shared" si="14"/>
        <v/>
      </c>
      <c r="K512" s="90"/>
    </row>
    <row r="513" spans="2:11">
      <c r="B513" s="10">
        <v>41744</v>
      </c>
      <c r="C513" s="16">
        <v>15000000051</v>
      </c>
      <c r="D513" s="13" t="s">
        <v>145</v>
      </c>
      <c r="E513" s="19" t="s">
        <v>146</v>
      </c>
      <c r="F513" s="60">
        <v>2286</v>
      </c>
      <c r="G513" s="32">
        <v>73183.600000000006</v>
      </c>
      <c r="H513" s="208">
        <v>41744</v>
      </c>
      <c r="I513" s="90">
        <v>0</v>
      </c>
      <c r="J513" s="90">
        <f t="shared" si="14"/>
        <v>73183.600000000006</v>
      </c>
      <c r="K513" s="90" t="str">
        <f t="shared" si="15"/>
        <v>ATRASADO</v>
      </c>
    </row>
    <row r="514" spans="2:11">
      <c r="B514" s="10">
        <v>41820</v>
      </c>
      <c r="C514" s="16">
        <v>1500001125</v>
      </c>
      <c r="D514" s="13" t="s">
        <v>145</v>
      </c>
      <c r="E514" s="19" t="s">
        <v>146</v>
      </c>
      <c r="F514" s="60">
        <v>2286</v>
      </c>
      <c r="G514" s="32">
        <v>44273.599999999999</v>
      </c>
      <c r="H514" s="208">
        <v>41820</v>
      </c>
      <c r="I514" s="90">
        <v>0</v>
      </c>
      <c r="J514" s="90">
        <f t="shared" si="14"/>
        <v>44273.599999999999</v>
      </c>
      <c r="K514" s="90" t="str">
        <f t="shared" si="15"/>
        <v>ATRASADO</v>
      </c>
    </row>
    <row r="515" spans="2:11">
      <c r="B515" s="10"/>
      <c r="C515" s="17"/>
      <c r="D515" s="13"/>
      <c r="E515" s="19"/>
      <c r="F515" s="60"/>
      <c r="G515" s="32"/>
      <c r="H515" s="208"/>
      <c r="I515" s="90"/>
      <c r="J515" s="90" t="str">
        <f t="shared" si="14"/>
        <v/>
      </c>
      <c r="K515" s="90"/>
    </row>
    <row r="516" spans="2:11">
      <c r="B516" s="10" t="s">
        <v>1471</v>
      </c>
      <c r="C516" s="17" t="s">
        <v>1472</v>
      </c>
      <c r="D516" s="99" t="s">
        <v>893</v>
      </c>
      <c r="E516" s="19" t="s">
        <v>468</v>
      </c>
      <c r="F516" s="60">
        <v>2221</v>
      </c>
      <c r="G516" s="32">
        <v>47200</v>
      </c>
      <c r="H516" s="208" t="s">
        <v>1471</v>
      </c>
      <c r="I516" s="90">
        <v>0</v>
      </c>
      <c r="J516" s="90">
        <f t="shared" si="14"/>
        <v>47200</v>
      </c>
      <c r="K516" s="90" t="str">
        <f t="shared" si="15"/>
        <v>ATRASADO</v>
      </c>
    </row>
    <row r="517" spans="2:11">
      <c r="B517" s="10"/>
      <c r="C517" s="17"/>
      <c r="D517" s="13"/>
      <c r="E517" s="19"/>
      <c r="F517" s="60"/>
      <c r="G517" s="32"/>
      <c r="H517" s="208"/>
      <c r="I517" s="90"/>
      <c r="J517" s="90" t="str">
        <f t="shared" si="14"/>
        <v/>
      </c>
      <c r="K517" s="90"/>
    </row>
    <row r="518" spans="2:11">
      <c r="B518" s="10" t="s">
        <v>1473</v>
      </c>
      <c r="C518" s="12" t="s">
        <v>166</v>
      </c>
      <c r="D518" s="13" t="s">
        <v>439</v>
      </c>
      <c r="E518" s="19" t="s">
        <v>680</v>
      </c>
      <c r="F518" s="60">
        <v>2115</v>
      </c>
      <c r="G518" s="213">
        <v>364890412.97000003</v>
      </c>
      <c r="H518" s="208" t="s">
        <v>1473</v>
      </c>
      <c r="I518" s="90">
        <v>0</v>
      </c>
      <c r="J518" s="90">
        <f t="shared" si="14"/>
        <v>364890412.97000003</v>
      </c>
      <c r="K518" s="90" t="str">
        <f t="shared" si="15"/>
        <v>ATRASADO</v>
      </c>
    </row>
    <row r="519" spans="2:11">
      <c r="B519" s="94"/>
      <c r="C519" s="113"/>
      <c r="D519" s="13"/>
      <c r="E519" s="19"/>
      <c r="F519" s="113"/>
      <c r="G519" s="90"/>
      <c r="H519" s="214"/>
      <c r="I519" s="90"/>
      <c r="J519" s="90" t="str">
        <f t="shared" si="14"/>
        <v/>
      </c>
      <c r="K519" s="90"/>
    </row>
    <row r="520" spans="2:11">
      <c r="B520" s="112" t="s">
        <v>1474</v>
      </c>
      <c r="C520" s="113" t="s">
        <v>1475</v>
      </c>
      <c r="D520" s="13" t="s">
        <v>1476</v>
      </c>
      <c r="E520" s="19" t="s">
        <v>102</v>
      </c>
      <c r="F520" s="113">
        <v>2221</v>
      </c>
      <c r="G520" s="90">
        <v>35400</v>
      </c>
      <c r="H520" s="215" t="s">
        <v>1474</v>
      </c>
      <c r="I520" s="90">
        <v>0</v>
      </c>
      <c r="J520" s="90">
        <f t="shared" si="14"/>
        <v>35400</v>
      </c>
      <c r="K520" s="90" t="str">
        <f t="shared" si="15"/>
        <v>ATRASADO</v>
      </c>
    </row>
    <row r="521" spans="2:11">
      <c r="B521" s="112" t="s">
        <v>1474</v>
      </c>
      <c r="C521" s="113" t="s">
        <v>961</v>
      </c>
      <c r="D521" s="13" t="s">
        <v>1476</v>
      </c>
      <c r="E521" s="19" t="s">
        <v>102</v>
      </c>
      <c r="F521" s="113">
        <v>2221</v>
      </c>
      <c r="G521" s="90">
        <v>35400</v>
      </c>
      <c r="H521" s="215" t="s">
        <v>1474</v>
      </c>
      <c r="I521" s="90">
        <v>0</v>
      </c>
      <c r="J521" s="90">
        <f t="shared" si="14"/>
        <v>35400</v>
      </c>
      <c r="K521" s="90" t="str">
        <f t="shared" si="15"/>
        <v>ATRASADO</v>
      </c>
    </row>
    <row r="522" spans="2:11">
      <c r="B522" s="94"/>
      <c r="C522" s="113"/>
      <c r="D522" s="13"/>
      <c r="E522" s="19"/>
      <c r="F522" s="113"/>
      <c r="G522" s="90"/>
      <c r="H522" s="214"/>
      <c r="I522" s="90"/>
      <c r="J522" s="90" t="str">
        <f t="shared" si="14"/>
        <v/>
      </c>
      <c r="K522" s="90"/>
    </row>
    <row r="523" spans="2:11">
      <c r="B523" s="112">
        <v>44203</v>
      </c>
      <c r="C523" s="113" t="s">
        <v>1477</v>
      </c>
      <c r="D523" s="13" t="s">
        <v>1478</v>
      </c>
      <c r="E523" s="19" t="s">
        <v>962</v>
      </c>
      <c r="F523" s="113">
        <v>2332</v>
      </c>
      <c r="G523" s="90">
        <v>598260</v>
      </c>
      <c r="H523" s="215">
        <v>44203</v>
      </c>
      <c r="I523" s="90">
        <v>0</v>
      </c>
      <c r="J523" s="90">
        <f t="shared" si="14"/>
        <v>598260</v>
      </c>
      <c r="K523" s="90" t="str">
        <f t="shared" si="15"/>
        <v>ATRASADO</v>
      </c>
    </row>
    <row r="524" spans="2:11">
      <c r="B524" s="94"/>
      <c r="C524" s="113"/>
      <c r="D524" s="13"/>
      <c r="E524" s="19"/>
      <c r="F524" s="113"/>
      <c r="G524" s="90"/>
      <c r="H524" s="214"/>
      <c r="I524" s="90"/>
      <c r="J524" s="90" t="str">
        <f t="shared" si="14"/>
        <v/>
      </c>
      <c r="K524" s="90"/>
    </row>
    <row r="525" spans="2:11">
      <c r="B525" s="112">
        <v>44203</v>
      </c>
      <c r="C525" s="113" t="s">
        <v>1479</v>
      </c>
      <c r="D525" s="13" t="s">
        <v>1480</v>
      </c>
      <c r="E525" s="19" t="s">
        <v>962</v>
      </c>
      <c r="F525" s="113">
        <v>2332</v>
      </c>
      <c r="G525" s="90">
        <v>131275</v>
      </c>
      <c r="H525" s="215">
        <v>44203</v>
      </c>
      <c r="I525" s="90">
        <v>0</v>
      </c>
      <c r="J525" s="90">
        <f t="shared" si="14"/>
        <v>131275</v>
      </c>
      <c r="K525" s="90" t="str">
        <f t="shared" si="15"/>
        <v>ATRASADO</v>
      </c>
    </row>
    <row r="526" spans="2:11">
      <c r="B526" s="94"/>
      <c r="C526" s="113"/>
      <c r="D526" s="13"/>
      <c r="E526" s="19"/>
      <c r="F526" s="113"/>
      <c r="G526" s="90"/>
      <c r="H526" s="214"/>
      <c r="I526" s="90"/>
      <c r="J526" s="90" t="str">
        <f t="shared" si="14"/>
        <v/>
      </c>
      <c r="K526" s="90"/>
    </row>
    <row r="527" spans="2:11">
      <c r="B527" s="10">
        <v>43257</v>
      </c>
      <c r="C527" s="17" t="s">
        <v>593</v>
      </c>
      <c r="D527" s="13" t="s">
        <v>647</v>
      </c>
      <c r="E527" s="19" t="s">
        <v>648</v>
      </c>
      <c r="F527" s="60">
        <v>2272</v>
      </c>
      <c r="G527" s="32">
        <v>74340</v>
      </c>
      <c r="H527" s="208">
        <v>43257</v>
      </c>
      <c r="I527" s="90">
        <v>0</v>
      </c>
      <c r="J527" s="90">
        <f t="shared" si="14"/>
        <v>74340</v>
      </c>
      <c r="K527" s="90" t="str">
        <f t="shared" si="15"/>
        <v>ATRASADO</v>
      </c>
    </row>
    <row r="528" spans="2:11">
      <c r="B528" s="10"/>
      <c r="C528" s="16"/>
      <c r="D528" s="13"/>
      <c r="E528" s="19"/>
      <c r="F528" s="60"/>
      <c r="G528" s="32"/>
      <c r="H528" s="208"/>
      <c r="I528" s="90"/>
      <c r="J528" s="90" t="str">
        <f t="shared" ref="J528:J591" si="16">IF(G528&gt;0,G528,"")</f>
        <v/>
      </c>
      <c r="K528" s="90"/>
    </row>
    <row r="529" spans="2:11">
      <c r="B529" s="10" t="s">
        <v>964</v>
      </c>
      <c r="C529" s="17" t="s">
        <v>592</v>
      </c>
      <c r="D529" s="13" t="s">
        <v>963</v>
      </c>
      <c r="E529" s="19" t="s">
        <v>648</v>
      </c>
      <c r="F529" s="60">
        <v>2272</v>
      </c>
      <c r="G529" s="32">
        <v>502982.09</v>
      </c>
      <c r="H529" s="208" t="s">
        <v>964</v>
      </c>
      <c r="I529" s="90">
        <v>0</v>
      </c>
      <c r="J529" s="90">
        <f t="shared" si="16"/>
        <v>502982.09</v>
      </c>
      <c r="K529" s="90" t="str">
        <f t="shared" si="15"/>
        <v>ATRASADO</v>
      </c>
    </row>
    <row r="530" spans="2:11">
      <c r="B530" s="10"/>
      <c r="C530" s="16"/>
      <c r="D530" s="13"/>
      <c r="E530" s="19"/>
      <c r="F530" s="60"/>
      <c r="G530" s="32"/>
      <c r="H530" s="208"/>
      <c r="I530" s="90"/>
      <c r="J530" s="90" t="str">
        <f t="shared" si="16"/>
        <v/>
      </c>
      <c r="K530" s="90"/>
    </row>
    <row r="531" spans="2:11">
      <c r="B531" s="10">
        <v>44260</v>
      </c>
      <c r="C531" s="17" t="s">
        <v>1481</v>
      </c>
      <c r="D531" s="107" t="s">
        <v>915</v>
      </c>
      <c r="E531" s="19" t="s">
        <v>468</v>
      </c>
      <c r="F531" s="60">
        <v>2221</v>
      </c>
      <c r="G531" s="32">
        <v>59000</v>
      </c>
      <c r="H531" s="208">
        <v>44260</v>
      </c>
      <c r="I531" s="90">
        <v>0</v>
      </c>
      <c r="J531" s="90">
        <f t="shared" si="16"/>
        <v>59000</v>
      </c>
      <c r="K531" s="90" t="str">
        <f t="shared" si="15"/>
        <v>ATRASADO</v>
      </c>
    </row>
    <row r="532" spans="2:11">
      <c r="B532" s="10">
        <v>44260</v>
      </c>
      <c r="C532" s="17" t="s">
        <v>1482</v>
      </c>
      <c r="D532" s="107" t="s">
        <v>915</v>
      </c>
      <c r="E532" s="19" t="s">
        <v>468</v>
      </c>
      <c r="F532" s="60">
        <v>2221</v>
      </c>
      <c r="G532" s="32">
        <v>59000</v>
      </c>
      <c r="H532" s="208">
        <v>44260</v>
      </c>
      <c r="I532" s="90">
        <v>0</v>
      </c>
      <c r="J532" s="90">
        <f t="shared" si="16"/>
        <v>59000</v>
      </c>
      <c r="K532" s="90" t="str">
        <f t="shared" si="15"/>
        <v>ATRASADO</v>
      </c>
    </row>
    <row r="533" spans="2:11">
      <c r="B533" s="10">
        <v>44323</v>
      </c>
      <c r="C533" s="17" t="s">
        <v>1483</v>
      </c>
      <c r="D533" s="107" t="s">
        <v>915</v>
      </c>
      <c r="E533" s="19" t="s">
        <v>468</v>
      </c>
      <c r="F533" s="60">
        <v>2221</v>
      </c>
      <c r="G533" s="32">
        <v>59000</v>
      </c>
      <c r="H533" s="208">
        <v>44323</v>
      </c>
      <c r="I533" s="90">
        <v>0</v>
      </c>
      <c r="J533" s="90">
        <f t="shared" si="16"/>
        <v>59000</v>
      </c>
      <c r="K533" s="90" t="str">
        <f t="shared" si="15"/>
        <v>ATRASADO</v>
      </c>
    </row>
    <row r="534" spans="2:11">
      <c r="B534" s="10">
        <v>44323</v>
      </c>
      <c r="C534" s="17" t="s">
        <v>965</v>
      </c>
      <c r="D534" s="107" t="s">
        <v>915</v>
      </c>
      <c r="E534" s="19" t="s">
        <v>468</v>
      </c>
      <c r="F534" s="60">
        <v>2221</v>
      </c>
      <c r="G534" s="32">
        <v>59000</v>
      </c>
      <c r="H534" s="208">
        <v>44323</v>
      </c>
      <c r="I534" s="90">
        <v>0</v>
      </c>
      <c r="J534" s="90">
        <f t="shared" si="16"/>
        <v>59000</v>
      </c>
      <c r="K534" s="90" t="str">
        <f t="shared" si="15"/>
        <v>ATRASADO</v>
      </c>
    </row>
    <row r="535" spans="2:11">
      <c r="B535" s="10"/>
      <c r="C535" s="16"/>
      <c r="D535" s="13"/>
      <c r="E535" s="19"/>
      <c r="F535" s="60"/>
      <c r="G535" s="32"/>
      <c r="H535" s="208"/>
      <c r="I535" s="90"/>
      <c r="J535" s="90" t="str">
        <f t="shared" si="16"/>
        <v/>
      </c>
      <c r="K535" s="90"/>
    </row>
    <row r="536" spans="2:11">
      <c r="B536" s="10">
        <v>43525</v>
      </c>
      <c r="C536" s="17" t="s">
        <v>667</v>
      </c>
      <c r="D536" s="13" t="s">
        <v>730</v>
      </c>
      <c r="E536" s="19" t="s">
        <v>570</v>
      </c>
      <c r="F536" s="60">
        <v>2311</v>
      </c>
      <c r="G536" s="32">
        <v>144081.85999999999</v>
      </c>
      <c r="H536" s="208">
        <v>43525</v>
      </c>
      <c r="I536" s="90">
        <v>0</v>
      </c>
      <c r="J536" s="90">
        <f t="shared" si="16"/>
        <v>144081.85999999999</v>
      </c>
      <c r="K536" s="90" t="str">
        <f t="shared" si="15"/>
        <v>ATRASADO</v>
      </c>
    </row>
    <row r="537" spans="2:11">
      <c r="B537" s="10"/>
      <c r="C537" s="17"/>
      <c r="D537" s="216"/>
      <c r="E537" s="19"/>
      <c r="F537" s="60"/>
      <c r="G537" s="32"/>
      <c r="H537" s="208"/>
      <c r="I537" s="90"/>
      <c r="J537" s="90" t="str">
        <f t="shared" si="16"/>
        <v/>
      </c>
      <c r="K537" s="90"/>
    </row>
    <row r="538" spans="2:11">
      <c r="B538" s="10">
        <v>44203</v>
      </c>
      <c r="C538" s="17" t="s">
        <v>1484</v>
      </c>
      <c r="D538" s="217" t="s">
        <v>1485</v>
      </c>
      <c r="E538" s="19" t="s">
        <v>1486</v>
      </c>
      <c r="F538" s="60">
        <v>2251</v>
      </c>
      <c r="G538" s="32">
        <v>36580</v>
      </c>
      <c r="H538" s="208">
        <v>44203</v>
      </c>
      <c r="I538" s="90">
        <v>0</v>
      </c>
      <c r="J538" s="90">
        <f t="shared" si="16"/>
        <v>36580</v>
      </c>
      <c r="K538" s="90" t="str">
        <f t="shared" si="15"/>
        <v>ATRASADO</v>
      </c>
    </row>
    <row r="539" spans="2:11">
      <c r="B539" s="10"/>
      <c r="C539" s="17"/>
      <c r="D539" s="13"/>
      <c r="E539" s="19"/>
      <c r="F539" s="60"/>
      <c r="G539" s="32"/>
      <c r="H539" s="208"/>
      <c r="I539" s="90"/>
      <c r="J539" s="90" t="str">
        <f t="shared" si="16"/>
        <v/>
      </c>
      <c r="K539" s="90"/>
    </row>
    <row r="540" spans="2:11">
      <c r="B540" s="10">
        <v>41677</v>
      </c>
      <c r="C540" s="16">
        <v>1500000730</v>
      </c>
      <c r="D540" s="13" t="s">
        <v>12</v>
      </c>
      <c r="E540" s="19" t="s">
        <v>7</v>
      </c>
      <c r="F540" s="60">
        <v>2311</v>
      </c>
      <c r="G540" s="32">
        <v>475000</v>
      </c>
      <c r="H540" s="208">
        <v>41677</v>
      </c>
      <c r="I540" s="90">
        <v>0</v>
      </c>
      <c r="J540" s="90">
        <f t="shared" si="16"/>
        <v>475000</v>
      </c>
      <c r="K540" s="90" t="str">
        <f t="shared" si="15"/>
        <v>ATRASADO</v>
      </c>
    </row>
    <row r="541" spans="2:11">
      <c r="B541" s="10"/>
      <c r="C541" s="72"/>
      <c r="D541" s="13"/>
      <c r="E541" s="19"/>
      <c r="F541" s="60"/>
      <c r="G541" s="32"/>
      <c r="H541" s="208"/>
      <c r="I541" s="90"/>
      <c r="J541" s="90" t="str">
        <f t="shared" si="16"/>
        <v/>
      </c>
      <c r="K541" s="90"/>
    </row>
    <row r="542" spans="2:11">
      <c r="B542" s="10">
        <v>41981</v>
      </c>
      <c r="C542" s="72" t="s">
        <v>369</v>
      </c>
      <c r="D542" s="13" t="s">
        <v>557</v>
      </c>
      <c r="E542" s="19" t="s">
        <v>553</v>
      </c>
      <c r="F542" s="60">
        <v>2355</v>
      </c>
      <c r="G542" s="32">
        <v>32804</v>
      </c>
      <c r="H542" s="210">
        <v>41981</v>
      </c>
      <c r="I542" s="90">
        <v>0</v>
      </c>
      <c r="J542" s="90">
        <f t="shared" si="16"/>
        <v>32804</v>
      </c>
      <c r="K542" s="90" t="str">
        <f t="shared" si="15"/>
        <v>ATRASADO</v>
      </c>
    </row>
    <row r="543" spans="2:11">
      <c r="B543" s="10"/>
      <c r="C543" s="17"/>
      <c r="D543" s="13"/>
      <c r="E543" s="19"/>
      <c r="F543" s="60"/>
      <c r="G543" s="32"/>
      <c r="H543" s="208"/>
      <c r="I543" s="90"/>
      <c r="J543" s="90" t="str">
        <f t="shared" si="16"/>
        <v/>
      </c>
      <c r="K543" s="90"/>
    </row>
    <row r="544" spans="2:11" ht="24.75">
      <c r="B544" s="10">
        <v>41274</v>
      </c>
      <c r="C544" s="16" t="s">
        <v>444</v>
      </c>
      <c r="D544" s="13" t="s">
        <v>151</v>
      </c>
      <c r="E544" s="19" t="s">
        <v>152</v>
      </c>
      <c r="F544" s="60">
        <v>2217</v>
      </c>
      <c r="G544" s="32">
        <v>556395</v>
      </c>
      <c r="H544" s="208">
        <v>41274</v>
      </c>
      <c r="I544" s="90">
        <v>0</v>
      </c>
      <c r="J544" s="90">
        <f t="shared" si="16"/>
        <v>556395</v>
      </c>
      <c r="K544" s="90" t="str">
        <f t="shared" si="15"/>
        <v>ATRASADO</v>
      </c>
    </row>
    <row r="545" spans="2:11" ht="24.75">
      <c r="B545" s="10">
        <v>41639</v>
      </c>
      <c r="C545" s="16" t="s">
        <v>150</v>
      </c>
      <c r="D545" s="13" t="s">
        <v>151</v>
      </c>
      <c r="E545" s="19" t="s">
        <v>152</v>
      </c>
      <c r="F545" s="60">
        <v>2217</v>
      </c>
      <c r="G545" s="32">
        <f>4090.5+13332+37875-4090.5</f>
        <v>51207</v>
      </c>
      <c r="H545" s="208">
        <v>41639</v>
      </c>
      <c r="I545" s="90">
        <v>0</v>
      </c>
      <c r="J545" s="90">
        <f t="shared" si="16"/>
        <v>51207</v>
      </c>
      <c r="K545" s="90" t="str">
        <f t="shared" si="15"/>
        <v>ATRASADO</v>
      </c>
    </row>
    <row r="546" spans="2:11" ht="24.75">
      <c r="B546" s="10">
        <v>42004</v>
      </c>
      <c r="C546" s="16" t="s">
        <v>445</v>
      </c>
      <c r="D546" s="13" t="s">
        <v>151</v>
      </c>
      <c r="E546" s="19" t="s">
        <v>152</v>
      </c>
      <c r="F546" s="60">
        <v>2217</v>
      </c>
      <c r="G546" s="32">
        <v>19089</v>
      </c>
      <c r="H546" s="208">
        <v>42004</v>
      </c>
      <c r="I546" s="90">
        <v>0</v>
      </c>
      <c r="J546" s="90">
        <f t="shared" si="16"/>
        <v>19089</v>
      </c>
      <c r="K546" s="90" t="str">
        <f t="shared" si="15"/>
        <v>ATRASADO</v>
      </c>
    </row>
    <row r="547" spans="2:11" ht="24.75">
      <c r="B547" s="10">
        <v>42051</v>
      </c>
      <c r="C547" s="16">
        <v>1500004378</v>
      </c>
      <c r="D547" s="13" t="s">
        <v>151</v>
      </c>
      <c r="E547" s="19" t="s">
        <v>152</v>
      </c>
      <c r="F547" s="60">
        <v>2217</v>
      </c>
      <c r="G547" s="32">
        <v>6630</v>
      </c>
      <c r="H547" s="208">
        <v>42051</v>
      </c>
      <c r="I547" s="90">
        <v>0</v>
      </c>
      <c r="J547" s="90">
        <f t="shared" si="16"/>
        <v>6630</v>
      </c>
      <c r="K547" s="90" t="str">
        <f t="shared" si="15"/>
        <v>ATRASADO</v>
      </c>
    </row>
    <row r="548" spans="2:11" ht="24.75">
      <c r="B548" s="10">
        <v>42051</v>
      </c>
      <c r="C548" s="16">
        <v>1500004379</v>
      </c>
      <c r="D548" s="13" t="s">
        <v>151</v>
      </c>
      <c r="E548" s="19" t="s">
        <v>152</v>
      </c>
      <c r="F548" s="60">
        <v>2217</v>
      </c>
      <c r="G548" s="32">
        <v>9556</v>
      </c>
      <c r="H548" s="208">
        <v>42051</v>
      </c>
      <c r="I548" s="90">
        <v>0</v>
      </c>
      <c r="J548" s="90">
        <f t="shared" si="16"/>
        <v>9556</v>
      </c>
      <c r="K548" s="90" t="str">
        <f t="shared" si="15"/>
        <v>ATRASADO</v>
      </c>
    </row>
    <row r="549" spans="2:11">
      <c r="B549" s="10"/>
      <c r="C549" s="16"/>
      <c r="D549" s="13"/>
      <c r="E549" s="19"/>
      <c r="F549" s="60"/>
      <c r="G549" s="32"/>
      <c r="H549" s="208"/>
      <c r="I549" s="90"/>
      <c r="J549" s="90" t="str">
        <f t="shared" si="16"/>
        <v/>
      </c>
      <c r="K549" s="90" t="str">
        <f t="shared" si="15"/>
        <v>ATRASADO</v>
      </c>
    </row>
    <row r="550" spans="2:11">
      <c r="B550" s="10">
        <v>41212</v>
      </c>
      <c r="C550" s="16">
        <v>1761</v>
      </c>
      <c r="D550" s="13" t="s">
        <v>493</v>
      </c>
      <c r="E550" s="19" t="s">
        <v>494</v>
      </c>
      <c r="F550" s="60">
        <v>2272</v>
      </c>
      <c r="G550" s="32">
        <v>5220</v>
      </c>
      <c r="H550" s="208">
        <v>41212</v>
      </c>
      <c r="I550" s="90">
        <v>0</v>
      </c>
      <c r="J550" s="90">
        <f t="shared" si="16"/>
        <v>5220</v>
      </c>
      <c r="K550" s="90" t="str">
        <f t="shared" si="15"/>
        <v>ATRASADO</v>
      </c>
    </row>
    <row r="551" spans="2:11">
      <c r="B551" s="10">
        <v>42369</v>
      </c>
      <c r="C551" s="16">
        <v>1500000115</v>
      </c>
      <c r="D551" s="13" t="s">
        <v>493</v>
      </c>
      <c r="E551" s="19" t="s">
        <v>494</v>
      </c>
      <c r="F551" s="60">
        <v>2272</v>
      </c>
      <c r="G551" s="32">
        <v>4640</v>
      </c>
      <c r="H551" s="208">
        <v>42369</v>
      </c>
      <c r="I551" s="90">
        <v>0</v>
      </c>
      <c r="J551" s="90">
        <f t="shared" si="16"/>
        <v>4640</v>
      </c>
      <c r="K551" s="90" t="str">
        <f t="shared" si="15"/>
        <v>ATRASADO</v>
      </c>
    </row>
    <row r="552" spans="2:11">
      <c r="B552" s="10">
        <v>42369</v>
      </c>
      <c r="C552" s="16">
        <v>1500000118</v>
      </c>
      <c r="D552" s="13" t="s">
        <v>493</v>
      </c>
      <c r="E552" s="19" t="s">
        <v>494</v>
      </c>
      <c r="F552" s="60">
        <v>2272</v>
      </c>
      <c r="G552" s="32">
        <v>5220</v>
      </c>
      <c r="H552" s="208">
        <v>42369</v>
      </c>
      <c r="I552" s="90">
        <v>0</v>
      </c>
      <c r="J552" s="90">
        <f t="shared" si="16"/>
        <v>5220</v>
      </c>
      <c r="K552" s="90" t="str">
        <f t="shared" si="15"/>
        <v>ATRASADO</v>
      </c>
    </row>
    <row r="553" spans="2:11">
      <c r="B553" s="10"/>
      <c r="C553" s="17"/>
      <c r="D553" s="13"/>
      <c r="E553" s="19"/>
      <c r="F553" s="60"/>
      <c r="G553" s="32"/>
      <c r="H553" s="208"/>
      <c r="I553" s="90"/>
      <c r="J553" s="90" t="str">
        <f t="shared" si="16"/>
        <v/>
      </c>
      <c r="K553" s="90"/>
    </row>
    <row r="554" spans="2:11">
      <c r="B554" s="10">
        <v>41873</v>
      </c>
      <c r="C554" s="17">
        <v>10200128</v>
      </c>
      <c r="D554" s="13" t="s">
        <v>155</v>
      </c>
      <c r="E554" s="19" t="s">
        <v>156</v>
      </c>
      <c r="F554" s="60">
        <v>2311</v>
      </c>
      <c r="G554" s="32">
        <v>34456</v>
      </c>
      <c r="H554" s="208">
        <v>41873</v>
      </c>
      <c r="I554" s="90">
        <v>0</v>
      </c>
      <c r="J554" s="90">
        <f t="shared" si="16"/>
        <v>34456</v>
      </c>
      <c r="K554" s="90" t="str">
        <f t="shared" si="15"/>
        <v>ATRASADO</v>
      </c>
    </row>
    <row r="555" spans="2:11">
      <c r="B555" s="10">
        <v>41648</v>
      </c>
      <c r="C555" s="17">
        <v>1500000073</v>
      </c>
      <c r="D555" s="13" t="s">
        <v>155</v>
      </c>
      <c r="E555" s="19" t="s">
        <v>156</v>
      </c>
      <c r="F555" s="60">
        <v>2311</v>
      </c>
      <c r="G555" s="32">
        <v>28556</v>
      </c>
      <c r="H555" s="208">
        <v>41648</v>
      </c>
      <c r="I555" s="90">
        <v>0</v>
      </c>
      <c r="J555" s="90">
        <f t="shared" si="16"/>
        <v>28556</v>
      </c>
      <c r="K555" s="90" t="str">
        <f t="shared" ref="K555:K618" si="17">IF(J555&gt;0,"ATRASADO","")</f>
        <v>ATRASADO</v>
      </c>
    </row>
    <row r="556" spans="2:11">
      <c r="B556" s="10"/>
      <c r="C556" s="17"/>
      <c r="D556" s="13"/>
      <c r="E556" s="19"/>
      <c r="F556" s="60"/>
      <c r="G556" s="32"/>
      <c r="H556" s="208"/>
      <c r="I556" s="90"/>
      <c r="J556" s="90" t="str">
        <f t="shared" si="16"/>
        <v/>
      </c>
      <c r="K556" s="90"/>
    </row>
    <row r="557" spans="2:11">
      <c r="B557" s="10">
        <v>44202</v>
      </c>
      <c r="C557" s="17" t="s">
        <v>1487</v>
      </c>
      <c r="D557" s="13" t="s">
        <v>1488</v>
      </c>
      <c r="E557" s="19" t="s">
        <v>102</v>
      </c>
      <c r="F557" s="60">
        <v>2221</v>
      </c>
      <c r="G557" s="32">
        <v>29500</v>
      </c>
      <c r="H557" s="208">
        <v>44202</v>
      </c>
      <c r="I557" s="90">
        <v>0</v>
      </c>
      <c r="J557" s="90">
        <f t="shared" si="16"/>
        <v>29500</v>
      </c>
      <c r="K557" s="90" t="str">
        <f t="shared" si="17"/>
        <v>ATRASADO</v>
      </c>
    </row>
    <row r="558" spans="2:11">
      <c r="B558" s="10"/>
      <c r="C558" s="17"/>
      <c r="D558" s="13"/>
      <c r="E558" s="19"/>
      <c r="F558" s="60"/>
      <c r="G558" s="32"/>
      <c r="H558" s="208"/>
      <c r="I558" s="90"/>
      <c r="J558" s="90" t="str">
        <f t="shared" si="16"/>
        <v/>
      </c>
      <c r="K558" s="90"/>
    </row>
    <row r="559" spans="2:11">
      <c r="B559" s="10">
        <v>42257</v>
      </c>
      <c r="C559" s="17">
        <v>1500002773</v>
      </c>
      <c r="D559" s="13" t="s">
        <v>153</v>
      </c>
      <c r="E559" s="19" t="s">
        <v>154</v>
      </c>
      <c r="F559" s="60">
        <v>2272</v>
      </c>
      <c r="G559" s="32">
        <v>15400</v>
      </c>
      <c r="H559" s="208">
        <v>42257</v>
      </c>
      <c r="I559" s="90">
        <v>0</v>
      </c>
      <c r="J559" s="90">
        <f t="shared" si="16"/>
        <v>15400</v>
      </c>
      <c r="K559" s="90" t="str">
        <f t="shared" si="17"/>
        <v>ATRASADO</v>
      </c>
    </row>
    <row r="560" spans="2:11">
      <c r="B560" s="10"/>
      <c r="C560" s="17"/>
      <c r="D560" s="13"/>
      <c r="E560" s="19"/>
      <c r="F560" s="60"/>
      <c r="G560" s="74"/>
      <c r="H560" s="208"/>
      <c r="I560" s="90"/>
      <c r="J560" s="90" t="str">
        <f t="shared" si="16"/>
        <v/>
      </c>
      <c r="K560" s="90"/>
    </row>
    <row r="561" spans="2:11">
      <c r="B561" s="10">
        <v>43696</v>
      </c>
      <c r="C561" s="17" t="s">
        <v>633</v>
      </c>
      <c r="D561" s="13" t="s">
        <v>731</v>
      </c>
      <c r="E561" s="19" t="s">
        <v>705</v>
      </c>
      <c r="F561" s="60">
        <v>2286</v>
      </c>
      <c r="G561" s="74">
        <v>69856</v>
      </c>
      <c r="H561" s="208">
        <v>43696</v>
      </c>
      <c r="I561" s="90">
        <v>0</v>
      </c>
      <c r="J561" s="90">
        <f t="shared" si="16"/>
        <v>69856</v>
      </c>
      <c r="K561" s="90" t="str">
        <f t="shared" si="17"/>
        <v>ATRASADO</v>
      </c>
    </row>
    <row r="562" spans="2:11">
      <c r="B562" s="10"/>
      <c r="C562" s="17"/>
      <c r="D562" s="13"/>
      <c r="E562" s="19"/>
      <c r="F562" s="60"/>
      <c r="G562" s="74"/>
      <c r="H562" s="208"/>
      <c r="I562" s="90"/>
      <c r="J562" s="90" t="str">
        <f t="shared" si="16"/>
        <v/>
      </c>
      <c r="K562" s="90"/>
    </row>
    <row r="563" spans="2:11">
      <c r="B563" s="10">
        <v>44320</v>
      </c>
      <c r="C563" s="17" t="s">
        <v>922</v>
      </c>
      <c r="D563" s="13" t="s">
        <v>921</v>
      </c>
      <c r="E563" s="19" t="s">
        <v>923</v>
      </c>
      <c r="F563" s="60">
        <v>2242</v>
      </c>
      <c r="G563" s="74">
        <v>5921666.1900000004</v>
      </c>
      <c r="H563" s="208">
        <v>44320</v>
      </c>
      <c r="I563" s="90">
        <v>0</v>
      </c>
      <c r="J563" s="90">
        <f t="shared" si="16"/>
        <v>5921666.1900000004</v>
      </c>
      <c r="K563" s="90" t="str">
        <f t="shared" si="17"/>
        <v>ATRASADO</v>
      </c>
    </row>
    <row r="564" spans="2:11">
      <c r="B564" s="10"/>
      <c r="C564" s="17"/>
      <c r="D564" s="13"/>
      <c r="E564" s="19"/>
      <c r="F564" s="60"/>
      <c r="G564" s="74"/>
      <c r="H564" s="208"/>
      <c r="I564" s="90"/>
      <c r="J564" s="90" t="str">
        <f t="shared" si="16"/>
        <v/>
      </c>
      <c r="K564" s="90"/>
    </row>
    <row r="565" spans="2:11">
      <c r="B565" s="36">
        <v>41900</v>
      </c>
      <c r="C565" s="35" t="s">
        <v>562</v>
      </c>
      <c r="D565" s="13" t="s">
        <v>563</v>
      </c>
      <c r="E565" s="19" t="s">
        <v>134</v>
      </c>
      <c r="F565" s="60">
        <v>2287</v>
      </c>
      <c r="G565" s="32">
        <v>23600</v>
      </c>
      <c r="H565" s="210">
        <v>41900</v>
      </c>
      <c r="I565" s="90">
        <v>0</v>
      </c>
      <c r="J565" s="90">
        <f t="shared" si="16"/>
        <v>23600</v>
      </c>
      <c r="K565" s="90" t="str">
        <f t="shared" si="17"/>
        <v>ATRASADO</v>
      </c>
    </row>
    <row r="566" spans="2:11">
      <c r="B566" s="10"/>
      <c r="C566" s="17"/>
      <c r="D566" s="13"/>
      <c r="E566" s="19"/>
      <c r="F566" s="60"/>
      <c r="G566" s="74"/>
      <c r="H566" s="208"/>
      <c r="I566" s="90"/>
      <c r="J566" s="90" t="str">
        <f t="shared" si="16"/>
        <v/>
      </c>
      <c r="K566" s="90"/>
    </row>
    <row r="567" spans="2:11">
      <c r="B567" s="11">
        <v>41792</v>
      </c>
      <c r="C567" s="21" t="s">
        <v>22</v>
      </c>
      <c r="D567" s="13" t="s">
        <v>23</v>
      </c>
      <c r="E567" s="19" t="s">
        <v>24</v>
      </c>
      <c r="F567" s="60">
        <v>2242</v>
      </c>
      <c r="G567" s="32">
        <v>220000</v>
      </c>
      <c r="H567" s="87">
        <v>41792</v>
      </c>
      <c r="I567" s="90">
        <v>0</v>
      </c>
      <c r="J567" s="90">
        <f t="shared" si="16"/>
        <v>220000</v>
      </c>
      <c r="K567" s="90" t="str">
        <f t="shared" si="17"/>
        <v>ATRASADO</v>
      </c>
    </row>
    <row r="568" spans="2:11">
      <c r="B568" s="11">
        <v>41821</v>
      </c>
      <c r="C568" s="21" t="s">
        <v>25</v>
      </c>
      <c r="D568" s="13" t="s">
        <v>23</v>
      </c>
      <c r="E568" s="19" t="s">
        <v>24</v>
      </c>
      <c r="F568" s="60">
        <v>2242</v>
      </c>
      <c r="G568" s="32">
        <v>220000</v>
      </c>
      <c r="H568" s="87">
        <v>41821</v>
      </c>
      <c r="I568" s="90">
        <v>0</v>
      </c>
      <c r="J568" s="90">
        <f t="shared" si="16"/>
        <v>220000</v>
      </c>
      <c r="K568" s="90" t="str">
        <f t="shared" si="17"/>
        <v>ATRASADO</v>
      </c>
    </row>
    <row r="569" spans="2:11">
      <c r="B569" s="11">
        <v>41821</v>
      </c>
      <c r="C569" s="21" t="s">
        <v>26</v>
      </c>
      <c r="D569" s="13" t="s">
        <v>23</v>
      </c>
      <c r="E569" s="19" t="s">
        <v>24</v>
      </c>
      <c r="F569" s="60">
        <v>2242</v>
      </c>
      <c r="G569" s="32">
        <v>220000</v>
      </c>
      <c r="H569" s="87">
        <v>41821</v>
      </c>
      <c r="I569" s="90">
        <v>0</v>
      </c>
      <c r="J569" s="90">
        <f t="shared" si="16"/>
        <v>220000</v>
      </c>
      <c r="K569" s="90" t="str">
        <f t="shared" si="17"/>
        <v>ATRASADO</v>
      </c>
    </row>
    <row r="570" spans="2:11">
      <c r="B570" s="11">
        <v>42217</v>
      </c>
      <c r="C570" s="21">
        <v>1502438714</v>
      </c>
      <c r="D570" s="13" t="s">
        <v>23</v>
      </c>
      <c r="E570" s="19" t="s">
        <v>24</v>
      </c>
      <c r="F570" s="60">
        <v>2242</v>
      </c>
      <c r="G570" s="32">
        <v>266000</v>
      </c>
      <c r="H570" s="87">
        <v>42217</v>
      </c>
      <c r="I570" s="90">
        <v>0</v>
      </c>
      <c r="J570" s="90">
        <f t="shared" si="16"/>
        <v>266000</v>
      </c>
      <c r="K570" s="90" t="str">
        <f t="shared" si="17"/>
        <v>ATRASADO</v>
      </c>
    </row>
    <row r="571" spans="2:11">
      <c r="B571" s="11">
        <v>42217</v>
      </c>
      <c r="C571" s="21">
        <v>1502438715</v>
      </c>
      <c r="D571" s="13" t="s">
        <v>23</v>
      </c>
      <c r="E571" s="19" t="s">
        <v>24</v>
      </c>
      <c r="F571" s="60">
        <v>2242</v>
      </c>
      <c r="G571" s="32">
        <v>266000</v>
      </c>
      <c r="H571" s="87">
        <v>42217</v>
      </c>
      <c r="I571" s="90">
        <v>0</v>
      </c>
      <c r="J571" s="90">
        <f t="shared" si="16"/>
        <v>266000</v>
      </c>
      <c r="K571" s="90" t="str">
        <f t="shared" si="17"/>
        <v>ATRASADO</v>
      </c>
    </row>
    <row r="572" spans="2:11">
      <c r="B572" s="11">
        <v>42170</v>
      </c>
      <c r="C572" s="21">
        <v>1502438716</v>
      </c>
      <c r="D572" s="13" t="s">
        <v>23</v>
      </c>
      <c r="E572" s="19" t="s">
        <v>24</v>
      </c>
      <c r="F572" s="60">
        <v>2242</v>
      </c>
      <c r="G572" s="32">
        <v>266000</v>
      </c>
      <c r="H572" s="87">
        <v>42170</v>
      </c>
      <c r="I572" s="90">
        <v>0</v>
      </c>
      <c r="J572" s="90">
        <f t="shared" si="16"/>
        <v>266000</v>
      </c>
      <c r="K572" s="90" t="str">
        <f t="shared" si="17"/>
        <v>ATRASADO</v>
      </c>
    </row>
    <row r="573" spans="2:11">
      <c r="B573" s="11">
        <v>42170</v>
      </c>
      <c r="C573" s="21">
        <v>1502438717</v>
      </c>
      <c r="D573" s="13" t="s">
        <v>23</v>
      </c>
      <c r="E573" s="19" t="s">
        <v>24</v>
      </c>
      <c r="F573" s="60">
        <v>2242</v>
      </c>
      <c r="G573" s="32">
        <v>266000</v>
      </c>
      <c r="H573" s="87">
        <v>42170</v>
      </c>
      <c r="I573" s="90">
        <v>0</v>
      </c>
      <c r="J573" s="90">
        <f t="shared" si="16"/>
        <v>266000</v>
      </c>
      <c r="K573" s="90" t="str">
        <f t="shared" si="17"/>
        <v>ATRASADO</v>
      </c>
    </row>
    <row r="574" spans="2:11">
      <c r="B574" s="11">
        <v>42200</v>
      </c>
      <c r="C574" s="21">
        <v>1502438718</v>
      </c>
      <c r="D574" s="13" t="s">
        <v>23</v>
      </c>
      <c r="E574" s="19" t="s">
        <v>24</v>
      </c>
      <c r="F574" s="60">
        <v>2242</v>
      </c>
      <c r="G574" s="32">
        <v>266000</v>
      </c>
      <c r="H574" s="87">
        <v>42200</v>
      </c>
      <c r="I574" s="90">
        <v>0</v>
      </c>
      <c r="J574" s="90">
        <f t="shared" si="16"/>
        <v>266000</v>
      </c>
      <c r="K574" s="90" t="str">
        <f t="shared" si="17"/>
        <v>ATRASADO</v>
      </c>
    </row>
    <row r="575" spans="2:11">
      <c r="B575" s="11">
        <v>42200</v>
      </c>
      <c r="C575" s="21">
        <v>1502438719</v>
      </c>
      <c r="D575" s="13" t="s">
        <v>23</v>
      </c>
      <c r="E575" s="19" t="s">
        <v>24</v>
      </c>
      <c r="F575" s="60">
        <v>2242</v>
      </c>
      <c r="G575" s="32">
        <v>266000</v>
      </c>
      <c r="H575" s="87">
        <v>42200</v>
      </c>
      <c r="I575" s="90">
        <v>0</v>
      </c>
      <c r="J575" s="90">
        <f t="shared" si="16"/>
        <v>266000</v>
      </c>
      <c r="K575" s="90" t="str">
        <f t="shared" si="17"/>
        <v>ATRASADO</v>
      </c>
    </row>
    <row r="576" spans="2:11">
      <c r="B576" s="11">
        <v>42200</v>
      </c>
      <c r="C576" s="21">
        <v>1502438720</v>
      </c>
      <c r="D576" s="13" t="s">
        <v>23</v>
      </c>
      <c r="E576" s="19" t="s">
        <v>24</v>
      </c>
      <c r="F576" s="60">
        <v>2242</v>
      </c>
      <c r="G576" s="32">
        <v>266000</v>
      </c>
      <c r="H576" s="87">
        <v>42200</v>
      </c>
      <c r="I576" s="90">
        <v>0</v>
      </c>
      <c r="J576" s="90">
        <f t="shared" si="16"/>
        <v>266000</v>
      </c>
      <c r="K576" s="90" t="str">
        <f t="shared" si="17"/>
        <v>ATRASADO</v>
      </c>
    </row>
    <row r="577" spans="2:11">
      <c r="B577" s="11">
        <v>42200</v>
      </c>
      <c r="C577" s="21">
        <v>1502438721</v>
      </c>
      <c r="D577" s="13" t="s">
        <v>23</v>
      </c>
      <c r="E577" s="19" t="s">
        <v>24</v>
      </c>
      <c r="F577" s="60">
        <v>2242</v>
      </c>
      <c r="G577" s="32">
        <v>266000</v>
      </c>
      <c r="H577" s="87">
        <v>42200</v>
      </c>
      <c r="I577" s="90">
        <v>0</v>
      </c>
      <c r="J577" s="90">
        <f t="shared" si="16"/>
        <v>266000</v>
      </c>
      <c r="K577" s="90" t="str">
        <f t="shared" si="17"/>
        <v>ATRASADO</v>
      </c>
    </row>
    <row r="578" spans="2:11">
      <c r="B578" s="11">
        <v>42208</v>
      </c>
      <c r="C578" s="21">
        <v>1502438722</v>
      </c>
      <c r="D578" s="13" t="s">
        <v>23</v>
      </c>
      <c r="E578" s="19" t="s">
        <v>24</v>
      </c>
      <c r="F578" s="60">
        <v>2242</v>
      </c>
      <c r="G578" s="32">
        <v>266000</v>
      </c>
      <c r="H578" s="87">
        <v>42208</v>
      </c>
      <c r="I578" s="90">
        <v>0</v>
      </c>
      <c r="J578" s="90">
        <f t="shared" si="16"/>
        <v>266000</v>
      </c>
      <c r="K578" s="90" t="str">
        <f t="shared" si="17"/>
        <v>ATRASADO</v>
      </c>
    </row>
    <row r="579" spans="2:11">
      <c r="B579" s="11">
        <v>42208</v>
      </c>
      <c r="C579" s="21">
        <v>1502438723</v>
      </c>
      <c r="D579" s="13" t="s">
        <v>23</v>
      </c>
      <c r="E579" s="19" t="s">
        <v>24</v>
      </c>
      <c r="F579" s="60">
        <v>2242</v>
      </c>
      <c r="G579" s="32">
        <v>266000</v>
      </c>
      <c r="H579" s="87">
        <v>42208</v>
      </c>
      <c r="I579" s="90">
        <v>0</v>
      </c>
      <c r="J579" s="90">
        <f t="shared" si="16"/>
        <v>266000</v>
      </c>
      <c r="K579" s="90" t="str">
        <f t="shared" si="17"/>
        <v>ATRASADO</v>
      </c>
    </row>
    <row r="580" spans="2:11">
      <c r="B580" s="11">
        <v>42216</v>
      </c>
      <c r="C580" s="21">
        <v>1502438724</v>
      </c>
      <c r="D580" s="13" t="s">
        <v>23</v>
      </c>
      <c r="E580" s="19" t="s">
        <v>24</v>
      </c>
      <c r="F580" s="60">
        <v>2242</v>
      </c>
      <c r="G580" s="32">
        <v>266000</v>
      </c>
      <c r="H580" s="87">
        <v>42216</v>
      </c>
      <c r="I580" s="90">
        <v>0</v>
      </c>
      <c r="J580" s="90">
        <f t="shared" si="16"/>
        <v>266000</v>
      </c>
      <c r="K580" s="90" t="str">
        <f t="shared" si="17"/>
        <v>ATRASADO</v>
      </c>
    </row>
    <row r="581" spans="2:11">
      <c r="B581" s="11">
        <v>42216</v>
      </c>
      <c r="C581" s="21">
        <v>1502438725</v>
      </c>
      <c r="D581" s="13" t="s">
        <v>23</v>
      </c>
      <c r="E581" s="19" t="s">
        <v>24</v>
      </c>
      <c r="F581" s="60">
        <v>2242</v>
      </c>
      <c r="G581" s="32">
        <v>266000</v>
      </c>
      <c r="H581" s="87">
        <v>42216</v>
      </c>
      <c r="I581" s="90">
        <v>0</v>
      </c>
      <c r="J581" s="90">
        <f t="shared" si="16"/>
        <v>266000</v>
      </c>
      <c r="K581" s="90" t="str">
        <f t="shared" si="17"/>
        <v>ATRASADO</v>
      </c>
    </row>
    <row r="582" spans="2:11">
      <c r="B582" s="11">
        <v>42221</v>
      </c>
      <c r="C582" s="21">
        <v>1502438726</v>
      </c>
      <c r="D582" s="13" t="s">
        <v>23</v>
      </c>
      <c r="E582" s="19" t="s">
        <v>24</v>
      </c>
      <c r="F582" s="60">
        <v>2242</v>
      </c>
      <c r="G582" s="32">
        <v>266000</v>
      </c>
      <c r="H582" s="87">
        <v>42221</v>
      </c>
      <c r="I582" s="90">
        <v>0</v>
      </c>
      <c r="J582" s="90">
        <f t="shared" si="16"/>
        <v>266000</v>
      </c>
      <c r="K582" s="90" t="str">
        <f t="shared" si="17"/>
        <v>ATRASADO</v>
      </c>
    </row>
    <row r="583" spans="2:11">
      <c r="B583" s="11"/>
      <c r="C583" s="21"/>
      <c r="D583" s="13"/>
      <c r="E583" s="19"/>
      <c r="F583" s="60"/>
      <c r="G583" s="32"/>
      <c r="H583" s="87"/>
      <c r="I583" s="90"/>
      <c r="J583" s="90" t="str">
        <f t="shared" si="16"/>
        <v/>
      </c>
      <c r="K583" s="90"/>
    </row>
    <row r="584" spans="2:11">
      <c r="B584" s="10">
        <v>42647</v>
      </c>
      <c r="C584" s="16">
        <v>1500648147</v>
      </c>
      <c r="D584" s="13" t="s">
        <v>157</v>
      </c>
      <c r="E584" s="19" t="s">
        <v>102</v>
      </c>
      <c r="F584" s="60">
        <v>2221</v>
      </c>
      <c r="G584" s="32">
        <v>14160</v>
      </c>
      <c r="H584" s="208">
        <v>42647</v>
      </c>
      <c r="I584" s="90">
        <v>0</v>
      </c>
      <c r="J584" s="90">
        <f t="shared" si="16"/>
        <v>14160</v>
      </c>
      <c r="K584" s="90" t="str">
        <f t="shared" si="17"/>
        <v>ATRASADO</v>
      </c>
    </row>
    <row r="585" spans="2:11">
      <c r="B585" s="10"/>
      <c r="C585" s="16"/>
      <c r="D585" s="13"/>
      <c r="E585" s="19"/>
      <c r="F585" s="60"/>
      <c r="G585" s="32"/>
      <c r="H585" s="208"/>
      <c r="I585" s="90"/>
      <c r="J585" s="90" t="str">
        <f t="shared" si="16"/>
        <v/>
      </c>
      <c r="K585" s="90"/>
    </row>
    <row r="586" spans="2:11">
      <c r="B586" s="10">
        <v>41184</v>
      </c>
      <c r="C586" s="16" t="s">
        <v>47</v>
      </c>
      <c r="D586" s="13" t="s">
        <v>48</v>
      </c>
      <c r="E586" s="19" t="s">
        <v>21</v>
      </c>
      <c r="F586" s="60">
        <v>2251</v>
      </c>
      <c r="G586" s="32">
        <f>11299.52+320.12</f>
        <v>11619.640000000001</v>
      </c>
      <c r="H586" s="208">
        <v>41184</v>
      </c>
      <c r="I586" s="90">
        <v>0</v>
      </c>
      <c r="J586" s="90">
        <f t="shared" si="16"/>
        <v>11619.640000000001</v>
      </c>
      <c r="K586" s="90" t="str">
        <f t="shared" si="17"/>
        <v>ATRASADO</v>
      </c>
    </row>
    <row r="587" spans="2:11">
      <c r="B587" s="10">
        <v>41215</v>
      </c>
      <c r="C587" s="16" t="s">
        <v>37</v>
      </c>
      <c r="D587" s="13" t="s">
        <v>48</v>
      </c>
      <c r="E587" s="19" t="s">
        <v>21</v>
      </c>
      <c r="F587" s="60">
        <v>2251</v>
      </c>
      <c r="G587" s="32">
        <v>20299.79</v>
      </c>
      <c r="H587" s="208">
        <v>41215</v>
      </c>
      <c r="I587" s="90">
        <v>0</v>
      </c>
      <c r="J587" s="90">
        <f t="shared" si="16"/>
        <v>20299.79</v>
      </c>
      <c r="K587" s="90" t="str">
        <f t="shared" si="17"/>
        <v>ATRASADO</v>
      </c>
    </row>
    <row r="588" spans="2:11">
      <c r="B588" s="10">
        <v>41245</v>
      </c>
      <c r="C588" s="16" t="s">
        <v>39</v>
      </c>
      <c r="D588" s="13" t="s">
        <v>48</v>
      </c>
      <c r="E588" s="19" t="s">
        <v>21</v>
      </c>
      <c r="F588" s="60">
        <v>2251</v>
      </c>
      <c r="G588" s="32">
        <v>20299.79</v>
      </c>
      <c r="H588" s="208">
        <v>41245</v>
      </c>
      <c r="I588" s="90">
        <v>0</v>
      </c>
      <c r="J588" s="90">
        <f t="shared" si="16"/>
        <v>20299.79</v>
      </c>
      <c r="K588" s="90" t="str">
        <f t="shared" si="17"/>
        <v>ATRASADO</v>
      </c>
    </row>
    <row r="589" spans="2:11">
      <c r="B589" s="10">
        <v>41276</v>
      </c>
      <c r="C589" s="16" t="s">
        <v>40</v>
      </c>
      <c r="D589" s="13" t="s">
        <v>48</v>
      </c>
      <c r="E589" s="19" t="s">
        <v>21</v>
      </c>
      <c r="F589" s="60">
        <v>2251</v>
      </c>
      <c r="G589" s="32">
        <v>20649.8</v>
      </c>
      <c r="H589" s="208">
        <v>41276</v>
      </c>
      <c r="I589" s="90">
        <v>0</v>
      </c>
      <c r="J589" s="90">
        <f t="shared" si="16"/>
        <v>20649.8</v>
      </c>
      <c r="K589" s="90" t="str">
        <f t="shared" si="17"/>
        <v>ATRASADO</v>
      </c>
    </row>
    <row r="590" spans="2:11">
      <c r="B590" s="10">
        <v>41307</v>
      </c>
      <c r="C590" s="16" t="s">
        <v>41</v>
      </c>
      <c r="D590" s="13" t="s">
        <v>48</v>
      </c>
      <c r="E590" s="19" t="s">
        <v>21</v>
      </c>
      <c r="F590" s="60">
        <v>2251</v>
      </c>
      <c r="G590" s="32">
        <v>20649.8</v>
      </c>
      <c r="H590" s="208">
        <v>41307</v>
      </c>
      <c r="I590" s="90">
        <v>0</v>
      </c>
      <c r="J590" s="90">
        <f t="shared" si="16"/>
        <v>20649.8</v>
      </c>
      <c r="K590" s="90" t="str">
        <f t="shared" si="17"/>
        <v>ATRASADO</v>
      </c>
    </row>
    <row r="591" spans="2:11">
      <c r="B591" s="10">
        <v>41335</v>
      </c>
      <c r="C591" s="16" t="s">
        <v>42</v>
      </c>
      <c r="D591" s="13" t="s">
        <v>48</v>
      </c>
      <c r="E591" s="19" t="s">
        <v>21</v>
      </c>
      <c r="F591" s="60">
        <v>2251</v>
      </c>
      <c r="G591" s="32">
        <v>20649.8</v>
      </c>
      <c r="H591" s="208">
        <v>41335</v>
      </c>
      <c r="I591" s="90">
        <v>0</v>
      </c>
      <c r="J591" s="90">
        <f t="shared" si="16"/>
        <v>20649.8</v>
      </c>
      <c r="K591" s="90" t="str">
        <f t="shared" si="17"/>
        <v>ATRASADO</v>
      </c>
    </row>
    <row r="592" spans="2:11">
      <c r="B592" s="10">
        <v>41394</v>
      </c>
      <c r="C592" s="16" t="s">
        <v>43</v>
      </c>
      <c r="D592" s="13" t="s">
        <v>48</v>
      </c>
      <c r="E592" s="19" t="s">
        <v>21</v>
      </c>
      <c r="F592" s="60">
        <v>2251</v>
      </c>
      <c r="G592" s="32">
        <v>20649.8</v>
      </c>
      <c r="H592" s="208">
        <v>41394</v>
      </c>
      <c r="I592" s="90">
        <v>0</v>
      </c>
      <c r="J592" s="90">
        <f t="shared" ref="J592:J655" si="18">IF(G592&gt;0,G592,"")</f>
        <v>20649.8</v>
      </c>
      <c r="K592" s="90" t="str">
        <f t="shared" si="17"/>
        <v>ATRASADO</v>
      </c>
    </row>
    <row r="593" spans="2:11">
      <c r="B593" s="10">
        <v>41425</v>
      </c>
      <c r="C593" s="16" t="s">
        <v>44</v>
      </c>
      <c r="D593" s="13" t="s">
        <v>48</v>
      </c>
      <c r="E593" s="19" t="s">
        <v>21</v>
      </c>
      <c r="F593" s="60">
        <v>2251</v>
      </c>
      <c r="G593" s="32">
        <v>20649.8</v>
      </c>
      <c r="H593" s="208">
        <v>41425</v>
      </c>
      <c r="I593" s="90">
        <v>0</v>
      </c>
      <c r="J593" s="90">
        <f t="shared" si="18"/>
        <v>20649.8</v>
      </c>
      <c r="K593" s="90" t="str">
        <f t="shared" si="17"/>
        <v>ATRASADO</v>
      </c>
    </row>
    <row r="594" spans="2:11">
      <c r="B594" s="10">
        <v>41455</v>
      </c>
      <c r="C594" s="16" t="s">
        <v>30</v>
      </c>
      <c r="D594" s="13" t="s">
        <v>48</v>
      </c>
      <c r="E594" s="19" t="s">
        <v>21</v>
      </c>
      <c r="F594" s="60">
        <v>2251</v>
      </c>
      <c r="G594" s="32">
        <v>20649.8</v>
      </c>
      <c r="H594" s="208">
        <v>41455</v>
      </c>
      <c r="I594" s="90">
        <v>0</v>
      </c>
      <c r="J594" s="90">
        <f t="shared" si="18"/>
        <v>20649.8</v>
      </c>
      <c r="K594" s="90" t="str">
        <f t="shared" si="17"/>
        <v>ATRASADO</v>
      </c>
    </row>
    <row r="595" spans="2:11">
      <c r="B595" s="10">
        <v>41485</v>
      </c>
      <c r="C595" s="16" t="s">
        <v>32</v>
      </c>
      <c r="D595" s="13" t="s">
        <v>48</v>
      </c>
      <c r="E595" s="19" t="s">
        <v>21</v>
      </c>
      <c r="F595" s="60">
        <v>2251</v>
      </c>
      <c r="G595" s="32">
        <v>20649.8</v>
      </c>
      <c r="H595" s="208">
        <v>41485</v>
      </c>
      <c r="I595" s="90">
        <v>0</v>
      </c>
      <c r="J595" s="90">
        <f t="shared" si="18"/>
        <v>20649.8</v>
      </c>
      <c r="K595" s="90" t="str">
        <f t="shared" si="17"/>
        <v>ATRASADO</v>
      </c>
    </row>
    <row r="596" spans="2:11">
      <c r="B596" s="10">
        <v>41517</v>
      </c>
      <c r="C596" s="16" t="s">
        <v>33</v>
      </c>
      <c r="D596" s="13" t="s">
        <v>48</v>
      </c>
      <c r="E596" s="19" t="s">
        <v>21</v>
      </c>
      <c r="F596" s="60">
        <v>2251</v>
      </c>
      <c r="G596" s="32">
        <v>20649.8</v>
      </c>
      <c r="H596" s="208">
        <v>41517</v>
      </c>
      <c r="I596" s="90">
        <v>0</v>
      </c>
      <c r="J596" s="90">
        <f t="shared" si="18"/>
        <v>20649.8</v>
      </c>
      <c r="K596" s="90" t="str">
        <f t="shared" si="17"/>
        <v>ATRASADO</v>
      </c>
    </row>
    <row r="597" spans="2:11">
      <c r="B597" s="10">
        <v>41547</v>
      </c>
      <c r="C597" s="16" t="s">
        <v>45</v>
      </c>
      <c r="D597" s="13" t="s">
        <v>48</v>
      </c>
      <c r="E597" s="19" t="s">
        <v>21</v>
      </c>
      <c r="F597" s="60">
        <v>2251</v>
      </c>
      <c r="G597" s="32">
        <v>20649.8</v>
      </c>
      <c r="H597" s="208">
        <v>41547</v>
      </c>
      <c r="I597" s="90">
        <v>0</v>
      </c>
      <c r="J597" s="90">
        <f t="shared" si="18"/>
        <v>20649.8</v>
      </c>
      <c r="K597" s="90" t="str">
        <f t="shared" si="17"/>
        <v>ATRASADO</v>
      </c>
    </row>
    <row r="598" spans="2:11">
      <c r="B598" s="10">
        <v>41577</v>
      </c>
      <c r="C598" s="16" t="s">
        <v>46</v>
      </c>
      <c r="D598" s="13" t="s">
        <v>48</v>
      </c>
      <c r="E598" s="19" t="s">
        <v>21</v>
      </c>
      <c r="F598" s="60">
        <v>2251</v>
      </c>
      <c r="G598" s="32">
        <v>20649.8</v>
      </c>
      <c r="H598" s="208">
        <v>41577</v>
      </c>
      <c r="I598" s="90">
        <v>0</v>
      </c>
      <c r="J598" s="90">
        <f t="shared" si="18"/>
        <v>20649.8</v>
      </c>
      <c r="K598" s="90" t="str">
        <f t="shared" si="17"/>
        <v>ATRASADO</v>
      </c>
    </row>
    <row r="599" spans="2:11">
      <c r="B599" s="10">
        <v>41608</v>
      </c>
      <c r="C599" s="16" t="s">
        <v>49</v>
      </c>
      <c r="D599" s="13" t="s">
        <v>48</v>
      </c>
      <c r="E599" s="19" t="s">
        <v>21</v>
      </c>
      <c r="F599" s="60">
        <v>2251</v>
      </c>
      <c r="G599" s="32">
        <v>20649.8</v>
      </c>
      <c r="H599" s="208">
        <v>41608</v>
      </c>
      <c r="I599" s="90">
        <v>0</v>
      </c>
      <c r="J599" s="90">
        <f t="shared" si="18"/>
        <v>20649.8</v>
      </c>
      <c r="K599" s="90" t="str">
        <f t="shared" si="17"/>
        <v>ATRASADO</v>
      </c>
    </row>
    <row r="600" spans="2:11">
      <c r="B600" s="10">
        <v>41638</v>
      </c>
      <c r="C600" s="16" t="s">
        <v>50</v>
      </c>
      <c r="D600" s="13" t="s">
        <v>48</v>
      </c>
      <c r="E600" s="19" t="s">
        <v>21</v>
      </c>
      <c r="F600" s="60">
        <v>2251</v>
      </c>
      <c r="G600" s="32">
        <v>20649.8</v>
      </c>
      <c r="H600" s="208">
        <v>41638</v>
      </c>
      <c r="I600" s="90">
        <v>0</v>
      </c>
      <c r="J600" s="90">
        <f t="shared" si="18"/>
        <v>20649.8</v>
      </c>
      <c r="K600" s="90" t="str">
        <f t="shared" si="17"/>
        <v>ATRASADO</v>
      </c>
    </row>
    <row r="601" spans="2:11">
      <c r="B601" s="10">
        <v>41669</v>
      </c>
      <c r="C601" s="16" t="s">
        <v>51</v>
      </c>
      <c r="D601" s="13" t="s">
        <v>48</v>
      </c>
      <c r="E601" s="19" t="s">
        <v>21</v>
      </c>
      <c r="F601" s="60">
        <v>2251</v>
      </c>
      <c r="G601" s="32">
        <v>20649.8</v>
      </c>
      <c r="H601" s="208">
        <v>41669</v>
      </c>
      <c r="I601" s="90">
        <v>0</v>
      </c>
      <c r="J601" s="90">
        <f t="shared" si="18"/>
        <v>20649.8</v>
      </c>
      <c r="K601" s="90" t="str">
        <f t="shared" si="17"/>
        <v>ATRASADO</v>
      </c>
    </row>
    <row r="602" spans="2:11">
      <c r="B602" s="10">
        <v>41698</v>
      </c>
      <c r="C602" s="16" t="s">
        <v>52</v>
      </c>
      <c r="D602" s="13" t="s">
        <v>48</v>
      </c>
      <c r="E602" s="19" t="s">
        <v>21</v>
      </c>
      <c r="F602" s="60">
        <v>2251</v>
      </c>
      <c r="G602" s="32">
        <v>20649.8</v>
      </c>
      <c r="H602" s="208">
        <v>41698</v>
      </c>
      <c r="I602" s="90">
        <v>0</v>
      </c>
      <c r="J602" s="90">
        <f t="shared" si="18"/>
        <v>20649.8</v>
      </c>
      <c r="K602" s="90" t="str">
        <f t="shared" si="17"/>
        <v>ATRASADO</v>
      </c>
    </row>
    <row r="603" spans="2:11">
      <c r="B603" s="10">
        <v>41729</v>
      </c>
      <c r="C603" s="16" t="s">
        <v>53</v>
      </c>
      <c r="D603" s="13" t="s">
        <v>48</v>
      </c>
      <c r="E603" s="19" t="s">
        <v>21</v>
      </c>
      <c r="F603" s="60">
        <v>2251</v>
      </c>
      <c r="G603" s="32">
        <v>20649.8</v>
      </c>
      <c r="H603" s="208">
        <v>41729</v>
      </c>
      <c r="I603" s="90">
        <v>0</v>
      </c>
      <c r="J603" s="90">
        <f t="shared" si="18"/>
        <v>20649.8</v>
      </c>
      <c r="K603" s="90" t="str">
        <f t="shared" si="17"/>
        <v>ATRASADO</v>
      </c>
    </row>
    <row r="604" spans="2:11">
      <c r="B604" s="10"/>
      <c r="C604" s="16"/>
      <c r="D604" s="13"/>
      <c r="E604" s="19"/>
      <c r="F604" s="60"/>
      <c r="G604" s="32"/>
      <c r="H604" s="208"/>
      <c r="I604" s="90"/>
      <c r="J604" s="90" t="str">
        <f t="shared" si="18"/>
        <v/>
      </c>
      <c r="K604" s="90"/>
    </row>
    <row r="605" spans="2:11">
      <c r="B605" s="10">
        <v>44201</v>
      </c>
      <c r="C605" s="16" t="s">
        <v>1489</v>
      </c>
      <c r="D605" s="107" t="s">
        <v>1490</v>
      </c>
      <c r="E605" s="19" t="s">
        <v>102</v>
      </c>
      <c r="F605" s="60">
        <v>2221</v>
      </c>
      <c r="G605" s="32">
        <v>47200</v>
      </c>
      <c r="H605" s="208">
        <v>44201</v>
      </c>
      <c r="I605" s="90">
        <v>0</v>
      </c>
      <c r="J605" s="90">
        <f t="shared" si="18"/>
        <v>47200</v>
      </c>
      <c r="K605" s="90" t="str">
        <f t="shared" si="17"/>
        <v>ATRASADO</v>
      </c>
    </row>
    <row r="606" spans="2:11">
      <c r="B606" s="10">
        <v>44201</v>
      </c>
      <c r="C606" s="16" t="s">
        <v>924</v>
      </c>
      <c r="D606" s="107" t="s">
        <v>1490</v>
      </c>
      <c r="E606" s="19" t="s">
        <v>102</v>
      </c>
      <c r="F606" s="60">
        <v>2221</v>
      </c>
      <c r="G606" s="32">
        <v>47200</v>
      </c>
      <c r="H606" s="208">
        <v>44201</v>
      </c>
      <c r="I606" s="90">
        <v>0</v>
      </c>
      <c r="J606" s="90">
        <f t="shared" si="18"/>
        <v>47200</v>
      </c>
      <c r="K606" s="90" t="str">
        <f t="shared" si="17"/>
        <v>ATRASADO</v>
      </c>
    </row>
    <row r="607" spans="2:11">
      <c r="B607" s="10"/>
      <c r="C607" s="16"/>
      <c r="D607" s="13"/>
      <c r="E607" s="19"/>
      <c r="F607" s="60"/>
      <c r="G607" s="32"/>
      <c r="H607" s="208"/>
      <c r="I607" s="90"/>
      <c r="J607" s="90" t="str">
        <f t="shared" si="18"/>
        <v/>
      </c>
      <c r="K607" s="90"/>
    </row>
    <row r="608" spans="2:11">
      <c r="B608" s="10">
        <v>42779</v>
      </c>
      <c r="C608" s="16">
        <v>1500000150</v>
      </c>
      <c r="D608" s="13" t="s">
        <v>158</v>
      </c>
      <c r="E608" s="19" t="s">
        <v>120</v>
      </c>
      <c r="F608" s="60">
        <v>2355</v>
      </c>
      <c r="G608" s="32">
        <v>105003.48</v>
      </c>
      <c r="H608" s="208">
        <v>42779</v>
      </c>
      <c r="I608" s="90">
        <v>0</v>
      </c>
      <c r="J608" s="90">
        <f t="shared" si="18"/>
        <v>105003.48</v>
      </c>
      <c r="K608" s="90" t="str">
        <f t="shared" si="17"/>
        <v>ATRASADO</v>
      </c>
    </row>
    <row r="609" spans="2:11">
      <c r="B609" s="10"/>
      <c r="C609" s="16"/>
      <c r="D609" s="13"/>
      <c r="E609" s="19"/>
      <c r="F609" s="60"/>
      <c r="G609" s="32"/>
      <c r="H609" s="208"/>
      <c r="I609" s="90"/>
      <c r="J609" s="90" t="str">
        <f t="shared" si="18"/>
        <v/>
      </c>
      <c r="K609" s="90"/>
    </row>
    <row r="610" spans="2:11">
      <c r="B610" s="10">
        <v>44506</v>
      </c>
      <c r="C610" s="16" t="s">
        <v>1491</v>
      </c>
      <c r="D610" s="216" t="s">
        <v>916</v>
      </c>
      <c r="E610" s="19" t="s">
        <v>102</v>
      </c>
      <c r="F610" s="60">
        <v>2221</v>
      </c>
      <c r="G610" s="32">
        <v>23600</v>
      </c>
      <c r="H610" s="208">
        <v>44506</v>
      </c>
      <c r="I610" s="90">
        <v>0</v>
      </c>
      <c r="J610" s="90">
        <f t="shared" si="18"/>
        <v>23600</v>
      </c>
      <c r="K610" s="90" t="str">
        <f t="shared" si="17"/>
        <v>ATRASADO</v>
      </c>
    </row>
    <row r="611" spans="2:11">
      <c r="B611" s="10"/>
      <c r="C611" s="16"/>
      <c r="D611" s="13"/>
      <c r="E611" s="19"/>
      <c r="F611" s="60"/>
      <c r="G611" s="32"/>
      <c r="H611" s="208"/>
      <c r="I611" s="90"/>
      <c r="J611" s="90" t="str">
        <f t="shared" si="18"/>
        <v/>
      </c>
      <c r="K611" s="90"/>
    </row>
    <row r="612" spans="2:11">
      <c r="B612" s="10">
        <v>44203</v>
      </c>
      <c r="C612" s="16" t="s">
        <v>966</v>
      </c>
      <c r="D612" s="13" t="s">
        <v>1492</v>
      </c>
      <c r="E612" s="19" t="s">
        <v>102</v>
      </c>
      <c r="F612" s="60">
        <v>2221</v>
      </c>
      <c r="G612" s="32">
        <v>35400</v>
      </c>
      <c r="H612" s="208">
        <v>44203</v>
      </c>
      <c r="I612" s="90">
        <v>0</v>
      </c>
      <c r="J612" s="90">
        <f t="shared" si="18"/>
        <v>35400</v>
      </c>
      <c r="K612" s="90" t="str">
        <f t="shared" si="17"/>
        <v>ATRASADO</v>
      </c>
    </row>
    <row r="613" spans="2:11">
      <c r="B613" s="10"/>
      <c r="C613" s="16"/>
      <c r="D613" s="13"/>
      <c r="E613" s="19"/>
      <c r="F613" s="60"/>
      <c r="G613" s="32"/>
      <c r="H613" s="208"/>
      <c r="I613" s="90"/>
      <c r="J613" s="90" t="str">
        <f t="shared" si="18"/>
        <v/>
      </c>
      <c r="K613" s="90"/>
    </row>
    <row r="614" spans="2:11">
      <c r="B614" s="10" t="s">
        <v>887</v>
      </c>
      <c r="C614" s="16" t="s">
        <v>926</v>
      </c>
      <c r="D614" s="13" t="s">
        <v>925</v>
      </c>
      <c r="E614" s="19" t="s">
        <v>923</v>
      </c>
      <c r="F614" s="60">
        <v>2242</v>
      </c>
      <c r="G614" s="32">
        <v>6145166.6600000001</v>
      </c>
      <c r="H614" s="208" t="s">
        <v>887</v>
      </c>
      <c r="I614" s="90">
        <v>0</v>
      </c>
      <c r="J614" s="90">
        <f t="shared" si="18"/>
        <v>6145166.6600000001</v>
      </c>
      <c r="K614" s="90" t="str">
        <f t="shared" si="17"/>
        <v>ATRASADO</v>
      </c>
    </row>
    <row r="615" spans="2:11">
      <c r="B615" s="10"/>
      <c r="C615" s="16"/>
      <c r="D615" s="13"/>
      <c r="E615" s="19"/>
      <c r="F615" s="60"/>
      <c r="G615" s="32"/>
      <c r="H615" s="208"/>
      <c r="I615" s="90"/>
      <c r="J615" s="90" t="str">
        <f t="shared" si="18"/>
        <v/>
      </c>
      <c r="K615" s="90"/>
    </row>
    <row r="616" spans="2:11">
      <c r="B616" s="36">
        <v>41569</v>
      </c>
      <c r="C616" s="35" t="s">
        <v>517</v>
      </c>
      <c r="D616" s="13" t="s">
        <v>518</v>
      </c>
      <c r="E616" s="19" t="s">
        <v>519</v>
      </c>
      <c r="F616" s="60">
        <v>2322</v>
      </c>
      <c r="G616" s="32">
        <v>135346</v>
      </c>
      <c r="H616" s="210">
        <v>41569</v>
      </c>
      <c r="I616" s="90">
        <v>0</v>
      </c>
      <c r="J616" s="90">
        <f t="shared" si="18"/>
        <v>135346</v>
      </c>
      <c r="K616" s="90" t="str">
        <f t="shared" si="17"/>
        <v>ATRASADO</v>
      </c>
    </row>
    <row r="617" spans="2:11">
      <c r="B617" s="10"/>
      <c r="C617" s="16"/>
      <c r="D617" s="13"/>
      <c r="E617" s="19"/>
      <c r="F617" s="60"/>
      <c r="G617" s="32"/>
      <c r="H617" s="208"/>
      <c r="I617" s="90"/>
      <c r="J617" s="90" t="str">
        <f t="shared" si="18"/>
        <v/>
      </c>
      <c r="K617" s="90"/>
    </row>
    <row r="618" spans="2:11">
      <c r="B618" s="10">
        <v>44202</v>
      </c>
      <c r="C618" s="16" t="s">
        <v>1493</v>
      </c>
      <c r="D618" s="107" t="s">
        <v>1494</v>
      </c>
      <c r="E618" s="19" t="s">
        <v>102</v>
      </c>
      <c r="F618" s="60">
        <v>2221</v>
      </c>
      <c r="G618" s="32">
        <v>23600</v>
      </c>
      <c r="H618" s="208">
        <v>44202</v>
      </c>
      <c r="I618" s="90">
        <v>0</v>
      </c>
      <c r="J618" s="90">
        <f t="shared" si="18"/>
        <v>23600</v>
      </c>
      <c r="K618" s="90" t="str">
        <f t="shared" si="17"/>
        <v>ATRASADO</v>
      </c>
    </row>
    <row r="619" spans="2:11">
      <c r="B619" s="10" t="s">
        <v>1495</v>
      </c>
      <c r="C619" s="16" t="s">
        <v>1496</v>
      </c>
      <c r="D619" s="107" t="s">
        <v>1494</v>
      </c>
      <c r="E619" s="19" t="s">
        <v>102</v>
      </c>
      <c r="F619" s="60">
        <v>2221</v>
      </c>
      <c r="G619" s="32">
        <v>23600</v>
      </c>
      <c r="H619" s="208" t="s">
        <v>1495</v>
      </c>
      <c r="I619" s="90">
        <v>0</v>
      </c>
      <c r="J619" s="90">
        <f t="shared" si="18"/>
        <v>23600</v>
      </c>
      <c r="K619" s="90" t="str">
        <f t="shared" ref="K619:K682" si="19">IF(J619&gt;0,"ATRASADO","")</f>
        <v>ATRASADO</v>
      </c>
    </row>
    <row r="620" spans="2:11">
      <c r="B620" s="10"/>
      <c r="C620" s="16"/>
      <c r="D620" s="13"/>
      <c r="E620" s="19"/>
      <c r="F620" s="60"/>
      <c r="G620" s="32"/>
      <c r="H620" s="208"/>
      <c r="I620" s="90"/>
      <c r="J620" s="90" t="str">
        <f t="shared" si="18"/>
        <v/>
      </c>
      <c r="K620" s="90"/>
    </row>
    <row r="621" spans="2:11">
      <c r="B621" s="10">
        <v>44292</v>
      </c>
      <c r="C621" s="16" t="s">
        <v>1497</v>
      </c>
      <c r="D621" s="13" t="s">
        <v>1498</v>
      </c>
      <c r="E621" s="19" t="s">
        <v>102</v>
      </c>
      <c r="F621" s="60">
        <v>2221</v>
      </c>
      <c r="G621" s="32">
        <v>35400</v>
      </c>
      <c r="H621" s="208">
        <v>44292</v>
      </c>
      <c r="I621" s="90">
        <v>0</v>
      </c>
      <c r="J621" s="90">
        <f t="shared" si="18"/>
        <v>35400</v>
      </c>
      <c r="K621" s="90" t="str">
        <f t="shared" si="19"/>
        <v>ATRASADO</v>
      </c>
    </row>
    <row r="622" spans="2:11">
      <c r="B622" s="10"/>
      <c r="C622" s="16"/>
      <c r="D622" s="13"/>
      <c r="E622" s="19"/>
      <c r="F622" s="60"/>
      <c r="G622" s="32"/>
      <c r="H622" s="208"/>
      <c r="I622" s="90"/>
      <c r="J622" s="90" t="str">
        <f t="shared" si="18"/>
        <v/>
      </c>
      <c r="K622" s="90"/>
    </row>
    <row r="623" spans="2:11">
      <c r="B623" s="10" t="s">
        <v>967</v>
      </c>
      <c r="C623" s="16" t="s">
        <v>968</v>
      </c>
      <c r="D623" s="108" t="s">
        <v>927</v>
      </c>
      <c r="E623" s="19" t="s">
        <v>705</v>
      </c>
      <c r="F623" s="60">
        <v>2286</v>
      </c>
      <c r="G623" s="32">
        <v>104931.5</v>
      </c>
      <c r="H623" s="208" t="s">
        <v>967</v>
      </c>
      <c r="I623" s="90">
        <v>0</v>
      </c>
      <c r="J623" s="90">
        <f t="shared" si="18"/>
        <v>104931.5</v>
      </c>
      <c r="K623" s="90" t="str">
        <f t="shared" si="19"/>
        <v>ATRASADO</v>
      </c>
    </row>
    <row r="624" spans="2:11">
      <c r="B624" s="10"/>
      <c r="C624" s="16"/>
      <c r="D624" s="13"/>
      <c r="E624" s="19"/>
      <c r="F624" s="60"/>
      <c r="G624" s="32"/>
      <c r="H624" s="208"/>
      <c r="I624" s="90"/>
      <c r="J624" s="90" t="str">
        <f t="shared" si="18"/>
        <v/>
      </c>
      <c r="K624" s="90"/>
    </row>
    <row r="625" spans="2:11">
      <c r="B625" s="10">
        <v>41459</v>
      </c>
      <c r="C625" s="16">
        <v>1500003420</v>
      </c>
      <c r="D625" s="13" t="s">
        <v>160</v>
      </c>
      <c r="E625" s="19" t="s">
        <v>146</v>
      </c>
      <c r="F625" s="60">
        <v>2286</v>
      </c>
      <c r="G625" s="32">
        <v>13885.6</v>
      </c>
      <c r="H625" s="208">
        <v>41459</v>
      </c>
      <c r="I625" s="90">
        <v>0</v>
      </c>
      <c r="J625" s="90">
        <f t="shared" si="18"/>
        <v>13885.6</v>
      </c>
      <c r="K625" s="90" t="str">
        <f t="shared" si="19"/>
        <v>ATRASADO</v>
      </c>
    </row>
    <row r="626" spans="2:11">
      <c r="B626" s="10">
        <v>41472</v>
      </c>
      <c r="C626" s="16">
        <v>1500003427</v>
      </c>
      <c r="D626" s="13" t="s">
        <v>160</v>
      </c>
      <c r="E626" s="19" t="s">
        <v>146</v>
      </c>
      <c r="F626" s="60">
        <v>2286</v>
      </c>
      <c r="G626" s="32">
        <v>14124.5</v>
      </c>
      <c r="H626" s="208">
        <v>41472</v>
      </c>
      <c r="I626" s="90">
        <v>0</v>
      </c>
      <c r="J626" s="90">
        <f t="shared" si="18"/>
        <v>14124.5</v>
      </c>
      <c r="K626" s="90" t="str">
        <f t="shared" si="19"/>
        <v>ATRASADO</v>
      </c>
    </row>
    <row r="627" spans="2:11">
      <c r="B627" s="10">
        <v>41479</v>
      </c>
      <c r="C627" s="16">
        <v>1500003435</v>
      </c>
      <c r="D627" s="13" t="s">
        <v>160</v>
      </c>
      <c r="E627" s="19" t="s">
        <v>146</v>
      </c>
      <c r="F627" s="60">
        <v>2286</v>
      </c>
      <c r="G627" s="32">
        <v>19723.599999999999</v>
      </c>
      <c r="H627" s="208">
        <v>41479</v>
      </c>
      <c r="I627" s="90">
        <v>0</v>
      </c>
      <c r="J627" s="90">
        <f t="shared" si="18"/>
        <v>19723.599999999999</v>
      </c>
      <c r="K627" s="90" t="str">
        <f t="shared" si="19"/>
        <v>ATRASADO</v>
      </c>
    </row>
    <row r="628" spans="2:11">
      <c r="B628" s="10">
        <v>41481</v>
      </c>
      <c r="C628" s="16">
        <v>1500003436</v>
      </c>
      <c r="D628" s="13" t="s">
        <v>160</v>
      </c>
      <c r="E628" s="19" t="s">
        <v>146</v>
      </c>
      <c r="F628" s="60">
        <v>2286</v>
      </c>
      <c r="G628" s="32">
        <v>7456</v>
      </c>
      <c r="H628" s="208">
        <v>41481</v>
      </c>
      <c r="I628" s="90">
        <v>0</v>
      </c>
      <c r="J628" s="90">
        <f t="shared" si="18"/>
        <v>7456</v>
      </c>
      <c r="K628" s="90" t="str">
        <f t="shared" si="19"/>
        <v>ATRASADO</v>
      </c>
    </row>
    <row r="629" spans="2:11">
      <c r="B629" s="10">
        <v>41485</v>
      </c>
      <c r="C629" s="16">
        <v>1500003437</v>
      </c>
      <c r="D629" s="13" t="s">
        <v>160</v>
      </c>
      <c r="E629" s="19" t="s">
        <v>146</v>
      </c>
      <c r="F629" s="60">
        <v>2286</v>
      </c>
      <c r="G629" s="32">
        <v>19723.599999999999</v>
      </c>
      <c r="H629" s="208">
        <v>41485</v>
      </c>
      <c r="I629" s="90">
        <v>0</v>
      </c>
      <c r="J629" s="90">
        <f t="shared" si="18"/>
        <v>19723.599999999999</v>
      </c>
      <c r="K629" s="90" t="str">
        <f t="shared" si="19"/>
        <v>ATRASADO</v>
      </c>
    </row>
    <row r="630" spans="2:11">
      <c r="B630" s="10">
        <v>41495</v>
      </c>
      <c r="C630" s="16">
        <v>1500003451</v>
      </c>
      <c r="D630" s="13" t="s">
        <v>160</v>
      </c>
      <c r="E630" s="19" t="s">
        <v>146</v>
      </c>
      <c r="F630" s="60">
        <v>2286</v>
      </c>
      <c r="G630" s="32">
        <v>37692</v>
      </c>
      <c r="H630" s="208">
        <v>41495</v>
      </c>
      <c r="I630" s="90">
        <v>0</v>
      </c>
      <c r="J630" s="90">
        <f t="shared" si="18"/>
        <v>37692</v>
      </c>
      <c r="K630" s="90" t="str">
        <f t="shared" si="19"/>
        <v>ATRASADO</v>
      </c>
    </row>
    <row r="631" spans="2:11">
      <c r="B631" s="10">
        <v>41494</v>
      </c>
      <c r="C631" s="16">
        <v>1500003449</v>
      </c>
      <c r="D631" s="13" t="s">
        <v>160</v>
      </c>
      <c r="E631" s="19" t="s">
        <v>146</v>
      </c>
      <c r="F631" s="60">
        <v>2286</v>
      </c>
      <c r="G631" s="32">
        <v>8816</v>
      </c>
      <c r="H631" s="208">
        <v>41494</v>
      </c>
      <c r="I631" s="90">
        <v>0</v>
      </c>
      <c r="J631" s="90">
        <f t="shared" si="18"/>
        <v>8816</v>
      </c>
      <c r="K631" s="90" t="str">
        <f t="shared" si="19"/>
        <v>ATRASADO</v>
      </c>
    </row>
    <row r="632" spans="2:11">
      <c r="B632" s="10">
        <v>41494</v>
      </c>
      <c r="C632" s="16">
        <v>1500003450</v>
      </c>
      <c r="D632" s="13" t="s">
        <v>160</v>
      </c>
      <c r="E632" s="19" t="s">
        <v>146</v>
      </c>
      <c r="F632" s="60">
        <v>2286</v>
      </c>
      <c r="G632" s="32">
        <v>15334</v>
      </c>
      <c r="H632" s="208">
        <v>41494</v>
      </c>
      <c r="I632" s="90">
        <v>0</v>
      </c>
      <c r="J632" s="90">
        <f t="shared" si="18"/>
        <v>15334</v>
      </c>
      <c r="K632" s="90" t="str">
        <f t="shared" si="19"/>
        <v>ATRASADO</v>
      </c>
    </row>
    <row r="633" spans="2:11">
      <c r="B633" s="10">
        <v>41499</v>
      </c>
      <c r="C633" s="16">
        <v>1500003452</v>
      </c>
      <c r="D633" s="13" t="s">
        <v>160</v>
      </c>
      <c r="E633" s="19" t="s">
        <v>146</v>
      </c>
      <c r="F633" s="60">
        <v>2286</v>
      </c>
      <c r="G633" s="32">
        <v>21175</v>
      </c>
      <c r="H633" s="208">
        <v>41499</v>
      </c>
      <c r="I633" s="90">
        <v>0</v>
      </c>
      <c r="J633" s="90">
        <f t="shared" si="18"/>
        <v>21175</v>
      </c>
      <c r="K633" s="90" t="str">
        <f t="shared" si="19"/>
        <v>ATRASADO</v>
      </c>
    </row>
    <row r="634" spans="2:11">
      <c r="B634" s="10" t="s">
        <v>1460</v>
      </c>
      <c r="C634" s="16" t="s">
        <v>1499</v>
      </c>
      <c r="D634" s="13" t="s">
        <v>160</v>
      </c>
      <c r="E634" s="19" t="s">
        <v>146</v>
      </c>
      <c r="F634" s="60">
        <v>2286</v>
      </c>
      <c r="G634" s="32">
        <v>128856</v>
      </c>
      <c r="H634" s="208" t="s">
        <v>1460</v>
      </c>
      <c r="I634" s="90">
        <v>0</v>
      </c>
      <c r="J634" s="90">
        <f t="shared" si="18"/>
        <v>128856</v>
      </c>
      <c r="K634" s="90" t="str">
        <f t="shared" si="19"/>
        <v>ATRASADO</v>
      </c>
    </row>
    <row r="635" spans="2:11">
      <c r="B635" s="10"/>
      <c r="C635" s="12"/>
      <c r="D635" s="13"/>
      <c r="E635" s="19"/>
      <c r="F635" s="60"/>
      <c r="G635" s="32"/>
      <c r="H635" s="208"/>
      <c r="I635" s="90"/>
      <c r="J635" s="90" t="str">
        <f t="shared" si="18"/>
        <v/>
      </c>
      <c r="K635" s="90"/>
    </row>
    <row r="636" spans="2:11">
      <c r="B636" s="10">
        <v>44323</v>
      </c>
      <c r="C636" s="12" t="s">
        <v>592</v>
      </c>
      <c r="D636" s="13" t="s">
        <v>1500</v>
      </c>
      <c r="E636" s="19" t="s">
        <v>102</v>
      </c>
      <c r="F636" s="60">
        <v>2221</v>
      </c>
      <c r="G636" s="32">
        <v>29500</v>
      </c>
      <c r="H636" s="208">
        <v>44323</v>
      </c>
      <c r="I636" s="90">
        <v>0</v>
      </c>
      <c r="J636" s="90">
        <f t="shared" si="18"/>
        <v>29500</v>
      </c>
      <c r="K636" s="90" t="str">
        <f t="shared" si="19"/>
        <v>ATRASADO</v>
      </c>
    </row>
    <row r="637" spans="2:11">
      <c r="B637" s="10">
        <v>44323</v>
      </c>
      <c r="C637" s="12" t="s">
        <v>881</v>
      </c>
      <c r="D637" s="13" t="s">
        <v>1500</v>
      </c>
      <c r="E637" s="19" t="s">
        <v>102</v>
      </c>
      <c r="F637" s="60">
        <v>2221</v>
      </c>
      <c r="G637" s="32">
        <v>29500</v>
      </c>
      <c r="H637" s="208">
        <v>44323</v>
      </c>
      <c r="I637" s="90">
        <v>0</v>
      </c>
      <c r="J637" s="90">
        <f t="shared" si="18"/>
        <v>29500</v>
      </c>
      <c r="K637" s="90" t="str">
        <f t="shared" si="19"/>
        <v>ATRASADO</v>
      </c>
    </row>
    <row r="638" spans="2:11">
      <c r="B638" s="10">
        <v>44323</v>
      </c>
      <c r="C638" s="12" t="s">
        <v>882</v>
      </c>
      <c r="D638" s="13" t="s">
        <v>1500</v>
      </c>
      <c r="E638" s="19" t="s">
        <v>102</v>
      </c>
      <c r="F638" s="60">
        <v>2221</v>
      </c>
      <c r="G638" s="32">
        <v>29500</v>
      </c>
      <c r="H638" s="208">
        <v>44323</v>
      </c>
      <c r="I638" s="90">
        <v>0</v>
      </c>
      <c r="J638" s="90">
        <f t="shared" si="18"/>
        <v>29500</v>
      </c>
      <c r="K638" s="90" t="str">
        <f t="shared" si="19"/>
        <v>ATRASADO</v>
      </c>
    </row>
    <row r="639" spans="2:11">
      <c r="B639" s="10">
        <v>44323</v>
      </c>
      <c r="C639" s="12" t="s">
        <v>883</v>
      </c>
      <c r="D639" s="13" t="s">
        <v>1500</v>
      </c>
      <c r="E639" s="19" t="s">
        <v>102</v>
      </c>
      <c r="F639" s="60">
        <v>2221</v>
      </c>
      <c r="G639" s="32">
        <v>29500</v>
      </c>
      <c r="H639" s="208">
        <v>44323</v>
      </c>
      <c r="I639" s="90">
        <v>0</v>
      </c>
      <c r="J639" s="90">
        <f t="shared" si="18"/>
        <v>29500</v>
      </c>
      <c r="K639" s="90" t="str">
        <f t="shared" si="19"/>
        <v>ATRASADO</v>
      </c>
    </row>
    <row r="640" spans="2:11">
      <c r="B640" s="10"/>
      <c r="C640" s="12"/>
      <c r="D640" s="13"/>
      <c r="E640" s="19"/>
      <c r="F640" s="60"/>
      <c r="G640" s="32"/>
      <c r="H640" s="208"/>
      <c r="I640" s="90"/>
      <c r="J640" s="90" t="str">
        <f t="shared" si="18"/>
        <v/>
      </c>
      <c r="K640" s="90"/>
    </row>
    <row r="641" spans="2:11">
      <c r="B641" s="10" t="s">
        <v>1501</v>
      </c>
      <c r="C641" s="12" t="s">
        <v>1502</v>
      </c>
      <c r="D641" s="13" t="s">
        <v>1503</v>
      </c>
      <c r="E641" s="19" t="s">
        <v>102</v>
      </c>
      <c r="F641" s="60">
        <v>2221</v>
      </c>
      <c r="G641" s="32">
        <v>29500</v>
      </c>
      <c r="H641" s="208" t="s">
        <v>1501</v>
      </c>
      <c r="I641" s="90">
        <v>0</v>
      </c>
      <c r="J641" s="90">
        <f t="shared" si="18"/>
        <v>29500</v>
      </c>
      <c r="K641" s="90" t="str">
        <f t="shared" si="19"/>
        <v>ATRASADO</v>
      </c>
    </row>
    <row r="642" spans="2:11">
      <c r="B642" s="10" t="s">
        <v>1501</v>
      </c>
      <c r="C642" s="12" t="s">
        <v>1504</v>
      </c>
      <c r="D642" s="13" t="s">
        <v>1503</v>
      </c>
      <c r="E642" s="19" t="s">
        <v>102</v>
      </c>
      <c r="F642" s="60">
        <v>2221</v>
      </c>
      <c r="G642" s="32">
        <v>29500</v>
      </c>
      <c r="H642" s="208" t="s">
        <v>1501</v>
      </c>
      <c r="I642" s="90">
        <v>0</v>
      </c>
      <c r="J642" s="90">
        <f t="shared" si="18"/>
        <v>29500</v>
      </c>
      <c r="K642" s="90" t="str">
        <f t="shared" si="19"/>
        <v>ATRASADO</v>
      </c>
    </row>
    <row r="643" spans="2:11">
      <c r="B643" s="10" t="s">
        <v>1501</v>
      </c>
      <c r="C643" s="12" t="s">
        <v>1505</v>
      </c>
      <c r="D643" s="13" t="s">
        <v>1503</v>
      </c>
      <c r="E643" s="19" t="s">
        <v>102</v>
      </c>
      <c r="F643" s="60">
        <v>2221</v>
      </c>
      <c r="G643" s="32">
        <v>29500</v>
      </c>
      <c r="H643" s="208" t="s">
        <v>1501</v>
      </c>
      <c r="I643" s="90">
        <v>0</v>
      </c>
      <c r="J643" s="90">
        <f t="shared" si="18"/>
        <v>29500</v>
      </c>
      <c r="K643" s="90" t="str">
        <f t="shared" si="19"/>
        <v>ATRASADO</v>
      </c>
    </row>
    <row r="644" spans="2:11">
      <c r="B644" s="10"/>
      <c r="C644" s="12"/>
      <c r="D644" s="13"/>
      <c r="E644" s="19"/>
      <c r="F644" s="60"/>
      <c r="G644" s="32"/>
      <c r="H644" s="208"/>
      <c r="I644" s="90"/>
      <c r="J644" s="90" t="str">
        <f t="shared" si="18"/>
        <v/>
      </c>
      <c r="K644" s="90"/>
    </row>
    <row r="645" spans="2:11">
      <c r="B645" s="10">
        <v>44506</v>
      </c>
      <c r="C645" s="12" t="s">
        <v>1506</v>
      </c>
      <c r="D645" s="13" t="s">
        <v>895</v>
      </c>
      <c r="E645" s="19" t="s">
        <v>102</v>
      </c>
      <c r="F645" s="60">
        <v>2221</v>
      </c>
      <c r="G645" s="32">
        <v>35400</v>
      </c>
      <c r="H645" s="208">
        <v>44506</v>
      </c>
      <c r="I645" s="90">
        <v>0</v>
      </c>
      <c r="J645" s="90">
        <f t="shared" si="18"/>
        <v>35400</v>
      </c>
      <c r="K645" s="90" t="str">
        <f t="shared" si="19"/>
        <v>ATRASADO</v>
      </c>
    </row>
    <row r="646" spans="2:11">
      <c r="B646" s="10">
        <v>44537</v>
      </c>
      <c r="C646" s="12" t="s">
        <v>1507</v>
      </c>
      <c r="D646" s="13" t="s">
        <v>895</v>
      </c>
      <c r="E646" s="19" t="s">
        <v>102</v>
      </c>
      <c r="F646" s="60">
        <v>2221</v>
      </c>
      <c r="G646" s="32">
        <v>35400</v>
      </c>
      <c r="H646" s="208">
        <v>44537</v>
      </c>
      <c r="I646" s="90">
        <v>0</v>
      </c>
      <c r="J646" s="90">
        <f t="shared" si="18"/>
        <v>35400</v>
      </c>
      <c r="K646" s="90" t="str">
        <f t="shared" si="19"/>
        <v>ATRASADO</v>
      </c>
    </row>
    <row r="647" spans="2:11">
      <c r="B647" s="10"/>
      <c r="C647" s="12"/>
      <c r="D647" s="13"/>
      <c r="E647" s="19"/>
      <c r="F647" s="60"/>
      <c r="G647" s="32"/>
      <c r="H647" s="208"/>
      <c r="I647" s="90"/>
      <c r="J647" s="90" t="str">
        <f t="shared" si="18"/>
        <v/>
      </c>
      <c r="K647" s="90"/>
    </row>
    <row r="648" spans="2:11" ht="24.75">
      <c r="B648" s="10">
        <v>42576</v>
      </c>
      <c r="C648" s="12">
        <v>1500000362</v>
      </c>
      <c r="D648" s="13" t="s">
        <v>496</v>
      </c>
      <c r="E648" s="19" t="s">
        <v>497</v>
      </c>
      <c r="F648" s="60">
        <v>2272</v>
      </c>
      <c r="G648" s="32">
        <v>19824</v>
      </c>
      <c r="H648" s="208">
        <v>42576</v>
      </c>
      <c r="I648" s="90">
        <v>0</v>
      </c>
      <c r="J648" s="90">
        <f t="shared" si="18"/>
        <v>19824</v>
      </c>
      <c r="K648" s="90" t="str">
        <f t="shared" si="19"/>
        <v>ATRASADO</v>
      </c>
    </row>
    <row r="649" spans="2:11">
      <c r="B649" s="10"/>
      <c r="C649" s="16"/>
      <c r="D649" s="13"/>
      <c r="E649" s="19"/>
      <c r="F649" s="60"/>
      <c r="G649" s="32"/>
      <c r="H649" s="208"/>
      <c r="I649" s="90"/>
      <c r="J649" s="90" t="str">
        <f t="shared" si="18"/>
        <v/>
      </c>
      <c r="K649" s="90"/>
    </row>
    <row r="650" spans="2:11">
      <c r="B650" s="10">
        <v>42879</v>
      </c>
      <c r="C650" s="16">
        <v>1500000017</v>
      </c>
      <c r="D650" s="13" t="s">
        <v>163</v>
      </c>
      <c r="E650" s="19" t="s">
        <v>164</v>
      </c>
      <c r="F650" s="60">
        <v>2371</v>
      </c>
      <c r="G650" s="32">
        <v>14671.89</v>
      </c>
      <c r="H650" s="208">
        <v>42879</v>
      </c>
      <c r="I650" s="90">
        <v>0</v>
      </c>
      <c r="J650" s="90">
        <f t="shared" si="18"/>
        <v>14671.89</v>
      </c>
      <c r="K650" s="90" t="str">
        <f t="shared" si="19"/>
        <v>ATRASADO</v>
      </c>
    </row>
    <row r="651" spans="2:11">
      <c r="B651" s="10">
        <v>42888</v>
      </c>
      <c r="C651" s="16">
        <v>1500000018</v>
      </c>
      <c r="D651" s="13" t="s">
        <v>163</v>
      </c>
      <c r="E651" s="19" t="s">
        <v>164</v>
      </c>
      <c r="F651" s="60">
        <v>2371</v>
      </c>
      <c r="G651" s="32">
        <v>73000</v>
      </c>
      <c r="H651" s="208">
        <v>42888</v>
      </c>
      <c r="I651" s="90">
        <v>0</v>
      </c>
      <c r="J651" s="90">
        <f t="shared" si="18"/>
        <v>73000</v>
      </c>
      <c r="K651" s="90" t="str">
        <f t="shared" si="19"/>
        <v>ATRASADO</v>
      </c>
    </row>
    <row r="652" spans="2:11">
      <c r="B652" s="10">
        <v>42899</v>
      </c>
      <c r="C652" s="16">
        <v>1500000019</v>
      </c>
      <c r="D652" s="13" t="s">
        <v>163</v>
      </c>
      <c r="E652" s="19" t="s">
        <v>164</v>
      </c>
      <c r="F652" s="60">
        <v>2371</v>
      </c>
      <c r="G652" s="32">
        <v>70250</v>
      </c>
      <c r="H652" s="208">
        <v>42899</v>
      </c>
      <c r="I652" s="90">
        <v>0</v>
      </c>
      <c r="J652" s="90">
        <f t="shared" si="18"/>
        <v>70250</v>
      </c>
      <c r="K652" s="90" t="str">
        <f t="shared" si="19"/>
        <v>ATRASADO</v>
      </c>
    </row>
    <row r="653" spans="2:11">
      <c r="B653" s="10"/>
      <c r="C653" s="16"/>
      <c r="D653" s="13"/>
      <c r="E653" s="19"/>
      <c r="F653" s="60"/>
      <c r="G653" s="32"/>
      <c r="H653" s="208"/>
      <c r="I653" s="90"/>
      <c r="J653" s="90" t="str">
        <f t="shared" si="18"/>
        <v/>
      </c>
      <c r="K653" s="90"/>
    </row>
    <row r="654" spans="2:11">
      <c r="B654" s="24">
        <v>42597</v>
      </c>
      <c r="C654" s="21" t="s">
        <v>87</v>
      </c>
      <c r="D654" s="13" t="s">
        <v>88</v>
      </c>
      <c r="E654" s="19" t="s">
        <v>21</v>
      </c>
      <c r="F654" s="60">
        <v>2251</v>
      </c>
      <c r="G654" s="32">
        <v>14278</v>
      </c>
      <c r="H654" s="211">
        <v>42597</v>
      </c>
      <c r="I654" s="90">
        <v>0</v>
      </c>
      <c r="J654" s="90">
        <f t="shared" si="18"/>
        <v>14278</v>
      </c>
      <c r="K654" s="90" t="str">
        <f t="shared" si="19"/>
        <v>ATRASADO</v>
      </c>
    </row>
    <row r="655" spans="2:11">
      <c r="B655" s="24">
        <v>42628</v>
      </c>
      <c r="C655" s="21" t="s">
        <v>89</v>
      </c>
      <c r="D655" s="13" t="s">
        <v>88</v>
      </c>
      <c r="E655" s="19" t="s">
        <v>21</v>
      </c>
      <c r="F655" s="60">
        <v>2251</v>
      </c>
      <c r="G655" s="32">
        <v>14278</v>
      </c>
      <c r="H655" s="211">
        <v>42628</v>
      </c>
      <c r="I655" s="90">
        <v>0</v>
      </c>
      <c r="J655" s="90">
        <f t="shared" si="18"/>
        <v>14278</v>
      </c>
      <c r="K655" s="90" t="str">
        <f t="shared" si="19"/>
        <v>ATRASADO</v>
      </c>
    </row>
    <row r="656" spans="2:11">
      <c r="B656" s="24"/>
      <c r="C656" s="21"/>
      <c r="D656" s="13"/>
      <c r="E656" s="19"/>
      <c r="F656" s="60"/>
      <c r="G656" s="32"/>
      <c r="H656" s="211"/>
      <c r="I656" s="90"/>
      <c r="J656" s="90" t="str">
        <f t="shared" ref="J656:J719" si="20">IF(G656&gt;0,G656,"")</f>
        <v/>
      </c>
      <c r="K656" s="90"/>
    </row>
    <row r="657" spans="2:11">
      <c r="B657" s="10">
        <v>41444</v>
      </c>
      <c r="C657" s="16">
        <v>1500008718</v>
      </c>
      <c r="D657" s="13" t="s">
        <v>161</v>
      </c>
      <c r="E657" s="19" t="s">
        <v>162</v>
      </c>
      <c r="F657" s="60">
        <v>2131</v>
      </c>
      <c r="G657" s="32">
        <v>69305</v>
      </c>
      <c r="H657" s="208">
        <v>41444</v>
      </c>
      <c r="I657" s="90">
        <v>0</v>
      </c>
      <c r="J657" s="90">
        <f t="shared" si="20"/>
        <v>69305</v>
      </c>
      <c r="K657" s="90" t="str">
        <f t="shared" si="19"/>
        <v>ATRASADO</v>
      </c>
    </row>
    <row r="658" spans="2:11">
      <c r="B658" s="10"/>
      <c r="C658" s="16"/>
      <c r="D658" s="13"/>
      <c r="E658" s="19"/>
      <c r="F658" s="60"/>
      <c r="G658" s="32"/>
      <c r="H658" s="208"/>
      <c r="I658" s="90"/>
      <c r="J658" s="90" t="str">
        <f t="shared" si="20"/>
        <v/>
      </c>
      <c r="K658" s="90"/>
    </row>
    <row r="659" spans="2:11">
      <c r="B659" s="11">
        <v>41060</v>
      </c>
      <c r="C659" s="40" t="s">
        <v>273</v>
      </c>
      <c r="D659" s="13" t="s">
        <v>55</v>
      </c>
      <c r="E659" s="19" t="s">
        <v>21</v>
      </c>
      <c r="F659" s="60">
        <v>2251</v>
      </c>
      <c r="G659" s="32">
        <v>100000</v>
      </c>
      <c r="H659" s="208">
        <v>41060</v>
      </c>
      <c r="I659" s="90">
        <v>0</v>
      </c>
      <c r="J659" s="90">
        <f t="shared" si="20"/>
        <v>100000</v>
      </c>
      <c r="K659" s="90" t="str">
        <f t="shared" si="19"/>
        <v>ATRASADO</v>
      </c>
    </row>
    <row r="660" spans="2:11">
      <c r="B660" s="23">
        <v>41182</v>
      </c>
      <c r="C660" s="18" t="s">
        <v>54</v>
      </c>
      <c r="D660" s="13" t="s">
        <v>55</v>
      </c>
      <c r="E660" s="19" t="s">
        <v>21</v>
      </c>
      <c r="F660" s="60">
        <v>2251</v>
      </c>
      <c r="G660" s="32">
        <v>100000</v>
      </c>
      <c r="H660" s="208">
        <v>41182</v>
      </c>
      <c r="I660" s="90">
        <v>0</v>
      </c>
      <c r="J660" s="90">
        <f t="shared" si="20"/>
        <v>100000</v>
      </c>
      <c r="K660" s="90" t="str">
        <f t="shared" si="19"/>
        <v>ATRASADO</v>
      </c>
    </row>
    <row r="661" spans="2:11">
      <c r="B661" s="23">
        <v>41213</v>
      </c>
      <c r="C661" s="18" t="s">
        <v>47</v>
      </c>
      <c r="D661" s="13" t="s">
        <v>55</v>
      </c>
      <c r="E661" s="19" t="s">
        <v>21</v>
      </c>
      <c r="F661" s="60">
        <v>2251</v>
      </c>
      <c r="G661" s="32">
        <v>100000</v>
      </c>
      <c r="H661" s="208">
        <v>41213</v>
      </c>
      <c r="I661" s="90">
        <v>0</v>
      </c>
      <c r="J661" s="90">
        <f t="shared" si="20"/>
        <v>100000</v>
      </c>
      <c r="K661" s="90" t="str">
        <f t="shared" si="19"/>
        <v>ATRASADO</v>
      </c>
    </row>
    <row r="662" spans="2:11">
      <c r="B662" s="23" t="s">
        <v>56</v>
      </c>
      <c r="C662" s="18" t="s">
        <v>37</v>
      </c>
      <c r="D662" s="13" t="s">
        <v>55</v>
      </c>
      <c r="E662" s="19" t="s">
        <v>21</v>
      </c>
      <c r="F662" s="60">
        <v>2251</v>
      </c>
      <c r="G662" s="32">
        <v>100000</v>
      </c>
      <c r="H662" s="208" t="s">
        <v>56</v>
      </c>
      <c r="I662" s="90">
        <v>0</v>
      </c>
      <c r="J662" s="90">
        <f t="shared" si="20"/>
        <v>100000</v>
      </c>
      <c r="K662" s="90" t="str">
        <f t="shared" si="19"/>
        <v>ATRASADO</v>
      </c>
    </row>
    <row r="663" spans="2:11">
      <c r="B663" s="23" t="s">
        <v>57</v>
      </c>
      <c r="C663" s="18" t="s">
        <v>39</v>
      </c>
      <c r="D663" s="13" t="s">
        <v>55</v>
      </c>
      <c r="E663" s="19" t="s">
        <v>21</v>
      </c>
      <c r="F663" s="60">
        <v>2251</v>
      </c>
      <c r="G663" s="32">
        <v>100000</v>
      </c>
      <c r="H663" s="208" t="s">
        <v>57</v>
      </c>
      <c r="I663" s="90">
        <v>0</v>
      </c>
      <c r="J663" s="90">
        <f t="shared" si="20"/>
        <v>100000</v>
      </c>
      <c r="K663" s="90" t="str">
        <f t="shared" si="19"/>
        <v>ATRASADO</v>
      </c>
    </row>
    <row r="664" spans="2:11">
      <c r="B664" s="23">
        <v>41333</v>
      </c>
      <c r="C664" s="15" t="s">
        <v>40</v>
      </c>
      <c r="D664" s="13" t="s">
        <v>55</v>
      </c>
      <c r="E664" s="19" t="s">
        <v>21</v>
      </c>
      <c r="F664" s="60">
        <v>2251</v>
      </c>
      <c r="G664" s="32">
        <v>100000</v>
      </c>
      <c r="H664" s="208">
        <v>41333</v>
      </c>
      <c r="I664" s="90">
        <v>0</v>
      </c>
      <c r="J664" s="90">
        <f t="shared" si="20"/>
        <v>100000</v>
      </c>
      <c r="K664" s="90" t="str">
        <f t="shared" si="19"/>
        <v>ATRASADO</v>
      </c>
    </row>
    <row r="665" spans="2:11">
      <c r="B665" s="23">
        <v>41333</v>
      </c>
      <c r="C665" s="15" t="s">
        <v>41</v>
      </c>
      <c r="D665" s="13" t="s">
        <v>55</v>
      </c>
      <c r="E665" s="19" t="s">
        <v>21</v>
      </c>
      <c r="F665" s="60">
        <v>2251</v>
      </c>
      <c r="G665" s="32">
        <v>100000</v>
      </c>
      <c r="H665" s="208">
        <v>41333</v>
      </c>
      <c r="I665" s="90">
        <v>0</v>
      </c>
      <c r="J665" s="90">
        <f t="shared" si="20"/>
        <v>100000</v>
      </c>
      <c r="K665" s="90" t="str">
        <f t="shared" si="19"/>
        <v>ATRASADO</v>
      </c>
    </row>
    <row r="666" spans="2:11">
      <c r="B666" s="23">
        <v>41364</v>
      </c>
      <c r="C666" s="15" t="s">
        <v>42</v>
      </c>
      <c r="D666" s="13" t="s">
        <v>55</v>
      </c>
      <c r="E666" s="19" t="s">
        <v>21</v>
      </c>
      <c r="F666" s="60">
        <v>2251</v>
      </c>
      <c r="G666" s="32">
        <v>100000</v>
      </c>
      <c r="H666" s="208">
        <v>41364</v>
      </c>
      <c r="I666" s="90">
        <v>0</v>
      </c>
      <c r="J666" s="90">
        <f t="shared" si="20"/>
        <v>100000</v>
      </c>
      <c r="K666" s="90" t="str">
        <f t="shared" si="19"/>
        <v>ATRASADO</v>
      </c>
    </row>
    <row r="667" spans="2:11">
      <c r="B667" s="23">
        <v>41394</v>
      </c>
      <c r="C667" s="15" t="s">
        <v>43</v>
      </c>
      <c r="D667" s="13" t="s">
        <v>55</v>
      </c>
      <c r="E667" s="19" t="s">
        <v>21</v>
      </c>
      <c r="F667" s="60">
        <v>2251</v>
      </c>
      <c r="G667" s="32">
        <v>100000</v>
      </c>
      <c r="H667" s="208">
        <v>41394</v>
      </c>
      <c r="I667" s="90">
        <v>0</v>
      </c>
      <c r="J667" s="90">
        <f t="shared" si="20"/>
        <v>100000</v>
      </c>
      <c r="K667" s="90" t="str">
        <f t="shared" si="19"/>
        <v>ATRASADO</v>
      </c>
    </row>
    <row r="668" spans="2:11">
      <c r="B668" s="23">
        <v>41425</v>
      </c>
      <c r="C668" s="15" t="s">
        <v>44</v>
      </c>
      <c r="D668" s="13" t="s">
        <v>55</v>
      </c>
      <c r="E668" s="19" t="s">
        <v>21</v>
      </c>
      <c r="F668" s="60">
        <v>2251</v>
      </c>
      <c r="G668" s="32">
        <v>100000</v>
      </c>
      <c r="H668" s="208">
        <v>41425</v>
      </c>
      <c r="I668" s="90">
        <v>0</v>
      </c>
      <c r="J668" s="90">
        <f t="shared" si="20"/>
        <v>100000</v>
      </c>
      <c r="K668" s="90" t="str">
        <f t="shared" si="19"/>
        <v>ATRASADO</v>
      </c>
    </row>
    <row r="669" spans="2:11">
      <c r="B669" s="23">
        <v>41455</v>
      </c>
      <c r="C669" s="15" t="s">
        <v>30</v>
      </c>
      <c r="D669" s="13" t="s">
        <v>55</v>
      </c>
      <c r="E669" s="19" t="s">
        <v>21</v>
      </c>
      <c r="F669" s="60">
        <v>2251</v>
      </c>
      <c r="G669" s="32">
        <v>100000</v>
      </c>
      <c r="H669" s="208">
        <v>41455</v>
      </c>
      <c r="I669" s="90">
        <v>0</v>
      </c>
      <c r="J669" s="90">
        <f t="shared" si="20"/>
        <v>100000</v>
      </c>
      <c r="K669" s="90" t="str">
        <f t="shared" si="19"/>
        <v>ATRASADO</v>
      </c>
    </row>
    <row r="670" spans="2:11">
      <c r="B670" s="23">
        <v>41485</v>
      </c>
      <c r="C670" s="15" t="s">
        <v>32</v>
      </c>
      <c r="D670" s="13" t="s">
        <v>55</v>
      </c>
      <c r="E670" s="19" t="s">
        <v>21</v>
      </c>
      <c r="F670" s="60">
        <v>2251</v>
      </c>
      <c r="G670" s="32">
        <v>100000</v>
      </c>
      <c r="H670" s="208">
        <v>41485</v>
      </c>
      <c r="I670" s="90">
        <v>0</v>
      </c>
      <c r="J670" s="90">
        <f t="shared" si="20"/>
        <v>100000</v>
      </c>
      <c r="K670" s="90" t="str">
        <f t="shared" si="19"/>
        <v>ATRASADO</v>
      </c>
    </row>
    <row r="671" spans="2:11">
      <c r="B671" s="23">
        <v>41501</v>
      </c>
      <c r="C671" s="15" t="s">
        <v>33</v>
      </c>
      <c r="D671" s="13" t="s">
        <v>55</v>
      </c>
      <c r="E671" s="19" t="s">
        <v>21</v>
      </c>
      <c r="F671" s="60">
        <v>2251</v>
      </c>
      <c r="G671" s="32">
        <v>100000</v>
      </c>
      <c r="H671" s="208">
        <v>41501</v>
      </c>
      <c r="I671" s="90">
        <v>0</v>
      </c>
      <c r="J671" s="90">
        <f t="shared" si="20"/>
        <v>100000</v>
      </c>
      <c r="K671" s="90" t="str">
        <f t="shared" si="19"/>
        <v>ATRASADO</v>
      </c>
    </row>
    <row r="672" spans="2:11">
      <c r="B672" s="23">
        <v>41547</v>
      </c>
      <c r="C672" s="15" t="s">
        <v>45</v>
      </c>
      <c r="D672" s="13" t="s">
        <v>55</v>
      </c>
      <c r="E672" s="19" t="s">
        <v>21</v>
      </c>
      <c r="F672" s="60">
        <v>2251</v>
      </c>
      <c r="G672" s="32">
        <v>100000</v>
      </c>
      <c r="H672" s="208">
        <v>41547</v>
      </c>
      <c r="I672" s="90">
        <v>0</v>
      </c>
      <c r="J672" s="90">
        <f t="shared" si="20"/>
        <v>100000</v>
      </c>
      <c r="K672" s="90" t="str">
        <f t="shared" si="19"/>
        <v>ATRASADO</v>
      </c>
    </row>
    <row r="673" spans="2:11">
      <c r="B673" s="23">
        <v>41577</v>
      </c>
      <c r="C673" s="15" t="s">
        <v>46</v>
      </c>
      <c r="D673" s="13" t="s">
        <v>55</v>
      </c>
      <c r="E673" s="19" t="s">
        <v>21</v>
      </c>
      <c r="F673" s="60">
        <v>2251</v>
      </c>
      <c r="G673" s="32">
        <v>100000</v>
      </c>
      <c r="H673" s="208">
        <v>41577</v>
      </c>
      <c r="I673" s="90">
        <v>0</v>
      </c>
      <c r="J673" s="90">
        <f t="shared" si="20"/>
        <v>100000</v>
      </c>
      <c r="K673" s="90" t="str">
        <f t="shared" si="19"/>
        <v>ATRASADO</v>
      </c>
    </row>
    <row r="674" spans="2:11">
      <c r="B674" s="23">
        <v>41608</v>
      </c>
      <c r="C674" s="15" t="s">
        <v>49</v>
      </c>
      <c r="D674" s="13" t="s">
        <v>55</v>
      </c>
      <c r="E674" s="19" t="s">
        <v>21</v>
      </c>
      <c r="F674" s="60">
        <v>2251</v>
      </c>
      <c r="G674" s="32">
        <v>100000</v>
      </c>
      <c r="H674" s="208">
        <v>41608</v>
      </c>
      <c r="I674" s="90">
        <v>0</v>
      </c>
      <c r="J674" s="90">
        <f t="shared" si="20"/>
        <v>100000</v>
      </c>
      <c r="K674" s="90" t="str">
        <f t="shared" si="19"/>
        <v>ATRASADO</v>
      </c>
    </row>
    <row r="675" spans="2:11">
      <c r="B675" s="23">
        <v>41638</v>
      </c>
      <c r="C675" s="15" t="s">
        <v>50</v>
      </c>
      <c r="D675" s="13" t="s">
        <v>55</v>
      </c>
      <c r="E675" s="19" t="s">
        <v>21</v>
      </c>
      <c r="F675" s="60">
        <v>2251</v>
      </c>
      <c r="G675" s="32">
        <v>100000</v>
      </c>
      <c r="H675" s="208">
        <v>41638</v>
      </c>
      <c r="I675" s="90">
        <v>0</v>
      </c>
      <c r="J675" s="90">
        <f t="shared" si="20"/>
        <v>100000</v>
      </c>
      <c r="K675" s="90" t="str">
        <f t="shared" si="19"/>
        <v>ATRASADO</v>
      </c>
    </row>
    <row r="676" spans="2:11">
      <c r="B676" s="23">
        <v>41669</v>
      </c>
      <c r="C676" s="15" t="s">
        <v>51</v>
      </c>
      <c r="D676" s="13" t="s">
        <v>55</v>
      </c>
      <c r="E676" s="19" t="s">
        <v>21</v>
      </c>
      <c r="F676" s="60">
        <v>2251</v>
      </c>
      <c r="G676" s="32">
        <v>100000</v>
      </c>
      <c r="H676" s="208">
        <v>41669</v>
      </c>
      <c r="I676" s="90">
        <v>0</v>
      </c>
      <c r="J676" s="90">
        <f t="shared" si="20"/>
        <v>100000</v>
      </c>
      <c r="K676" s="90" t="str">
        <f t="shared" si="19"/>
        <v>ATRASADO</v>
      </c>
    </row>
    <row r="677" spans="2:11">
      <c r="B677" s="23">
        <v>41698</v>
      </c>
      <c r="C677" s="15" t="s">
        <v>52</v>
      </c>
      <c r="D677" s="13" t="s">
        <v>55</v>
      </c>
      <c r="E677" s="19" t="s">
        <v>21</v>
      </c>
      <c r="F677" s="60">
        <v>2251</v>
      </c>
      <c r="G677" s="32">
        <v>100000</v>
      </c>
      <c r="H677" s="208">
        <v>41698</v>
      </c>
      <c r="I677" s="90">
        <v>0</v>
      </c>
      <c r="J677" s="90">
        <f t="shared" si="20"/>
        <v>100000</v>
      </c>
      <c r="K677" s="90" t="str">
        <f t="shared" si="19"/>
        <v>ATRASADO</v>
      </c>
    </row>
    <row r="678" spans="2:11">
      <c r="B678" s="23">
        <v>41729</v>
      </c>
      <c r="C678" s="15" t="s">
        <v>53</v>
      </c>
      <c r="D678" s="13" t="s">
        <v>55</v>
      </c>
      <c r="E678" s="19" t="s">
        <v>21</v>
      </c>
      <c r="F678" s="60">
        <v>2251</v>
      </c>
      <c r="G678" s="32">
        <v>100000</v>
      </c>
      <c r="H678" s="208">
        <v>41729</v>
      </c>
      <c r="I678" s="90">
        <v>0</v>
      </c>
      <c r="J678" s="90">
        <f t="shared" si="20"/>
        <v>100000</v>
      </c>
      <c r="K678" s="90" t="str">
        <f t="shared" si="19"/>
        <v>ATRASADO</v>
      </c>
    </row>
    <row r="679" spans="2:11">
      <c r="B679" s="23">
        <v>41759</v>
      </c>
      <c r="C679" s="15" t="s">
        <v>58</v>
      </c>
      <c r="D679" s="13" t="s">
        <v>55</v>
      </c>
      <c r="E679" s="19" t="s">
        <v>21</v>
      </c>
      <c r="F679" s="60">
        <v>2251</v>
      </c>
      <c r="G679" s="32">
        <v>100000</v>
      </c>
      <c r="H679" s="208">
        <v>41759</v>
      </c>
      <c r="I679" s="90">
        <v>0</v>
      </c>
      <c r="J679" s="90">
        <f t="shared" si="20"/>
        <v>100000</v>
      </c>
      <c r="K679" s="90" t="str">
        <f t="shared" si="19"/>
        <v>ATRASADO</v>
      </c>
    </row>
    <row r="680" spans="2:11">
      <c r="B680" s="23">
        <v>41774</v>
      </c>
      <c r="C680" s="15" t="s">
        <v>59</v>
      </c>
      <c r="D680" s="13" t="s">
        <v>55</v>
      </c>
      <c r="E680" s="19" t="s">
        <v>21</v>
      </c>
      <c r="F680" s="60">
        <v>2251</v>
      </c>
      <c r="G680" s="32">
        <v>100000</v>
      </c>
      <c r="H680" s="208">
        <v>41774</v>
      </c>
      <c r="I680" s="90">
        <v>0</v>
      </c>
      <c r="J680" s="90">
        <f t="shared" si="20"/>
        <v>100000</v>
      </c>
      <c r="K680" s="90" t="str">
        <f t="shared" si="19"/>
        <v>ATRASADO</v>
      </c>
    </row>
    <row r="681" spans="2:11">
      <c r="B681" s="23">
        <v>41791</v>
      </c>
      <c r="C681" s="15" t="s">
        <v>60</v>
      </c>
      <c r="D681" s="13" t="s">
        <v>55</v>
      </c>
      <c r="E681" s="19" t="s">
        <v>21</v>
      </c>
      <c r="F681" s="60">
        <v>2251</v>
      </c>
      <c r="G681" s="32">
        <v>100000</v>
      </c>
      <c r="H681" s="208">
        <v>41791</v>
      </c>
      <c r="I681" s="90">
        <v>0</v>
      </c>
      <c r="J681" s="90">
        <f t="shared" si="20"/>
        <v>100000</v>
      </c>
      <c r="K681" s="90" t="str">
        <f t="shared" si="19"/>
        <v>ATRASADO</v>
      </c>
    </row>
    <row r="682" spans="2:11">
      <c r="B682" s="23">
        <v>41821</v>
      </c>
      <c r="C682" s="15" t="s">
        <v>61</v>
      </c>
      <c r="D682" s="13" t="s">
        <v>55</v>
      </c>
      <c r="E682" s="19" t="s">
        <v>21</v>
      </c>
      <c r="F682" s="60">
        <v>2251</v>
      </c>
      <c r="G682" s="32">
        <v>100000</v>
      </c>
      <c r="H682" s="208">
        <v>41821</v>
      </c>
      <c r="I682" s="90">
        <v>0</v>
      </c>
      <c r="J682" s="90">
        <f t="shared" si="20"/>
        <v>100000</v>
      </c>
      <c r="K682" s="90" t="str">
        <f t="shared" si="19"/>
        <v>ATRASADO</v>
      </c>
    </row>
    <row r="683" spans="2:11">
      <c r="B683" s="23">
        <v>41852</v>
      </c>
      <c r="C683" s="15" t="s">
        <v>62</v>
      </c>
      <c r="D683" s="13" t="s">
        <v>55</v>
      </c>
      <c r="E683" s="19" t="s">
        <v>21</v>
      </c>
      <c r="F683" s="60">
        <v>2251</v>
      </c>
      <c r="G683" s="32">
        <v>100000</v>
      </c>
      <c r="H683" s="208">
        <v>41852</v>
      </c>
      <c r="I683" s="90">
        <v>0</v>
      </c>
      <c r="J683" s="90">
        <f t="shared" si="20"/>
        <v>100000</v>
      </c>
      <c r="K683" s="90" t="str">
        <f t="shared" ref="K683:K746" si="21">IF(J683&gt;0,"ATRASADO","")</f>
        <v>ATRASADO</v>
      </c>
    </row>
    <row r="684" spans="2:11">
      <c r="B684" s="23">
        <v>41883</v>
      </c>
      <c r="C684" s="15" t="s">
        <v>63</v>
      </c>
      <c r="D684" s="13" t="s">
        <v>55</v>
      </c>
      <c r="E684" s="19" t="s">
        <v>21</v>
      </c>
      <c r="F684" s="60">
        <v>2251</v>
      </c>
      <c r="G684" s="32">
        <v>100000</v>
      </c>
      <c r="H684" s="208">
        <v>41883</v>
      </c>
      <c r="I684" s="90">
        <v>0</v>
      </c>
      <c r="J684" s="90">
        <f t="shared" si="20"/>
        <v>100000</v>
      </c>
      <c r="K684" s="90" t="str">
        <f t="shared" si="21"/>
        <v>ATRASADO</v>
      </c>
    </row>
    <row r="685" spans="2:11">
      <c r="B685" s="23">
        <v>41913</v>
      </c>
      <c r="C685" s="15" t="s">
        <v>64</v>
      </c>
      <c r="D685" s="13" t="s">
        <v>55</v>
      </c>
      <c r="E685" s="19" t="s">
        <v>21</v>
      </c>
      <c r="F685" s="60">
        <v>2251</v>
      </c>
      <c r="G685" s="32">
        <v>100000</v>
      </c>
      <c r="H685" s="208">
        <v>41913</v>
      </c>
      <c r="I685" s="90">
        <v>0</v>
      </c>
      <c r="J685" s="90">
        <f t="shared" si="20"/>
        <v>100000</v>
      </c>
      <c r="K685" s="90" t="str">
        <f t="shared" si="21"/>
        <v>ATRASADO</v>
      </c>
    </row>
    <row r="686" spans="2:11">
      <c r="B686" s="23">
        <v>41944</v>
      </c>
      <c r="C686" s="15" t="s">
        <v>65</v>
      </c>
      <c r="D686" s="13" t="s">
        <v>55</v>
      </c>
      <c r="E686" s="19" t="s">
        <v>21</v>
      </c>
      <c r="F686" s="60">
        <v>2251</v>
      </c>
      <c r="G686" s="32">
        <v>100000</v>
      </c>
      <c r="H686" s="208">
        <v>41944</v>
      </c>
      <c r="I686" s="90">
        <v>0</v>
      </c>
      <c r="J686" s="90">
        <f t="shared" si="20"/>
        <v>100000</v>
      </c>
      <c r="K686" s="90" t="str">
        <f t="shared" si="21"/>
        <v>ATRASADO</v>
      </c>
    </row>
    <row r="687" spans="2:11">
      <c r="B687" s="23">
        <v>41974</v>
      </c>
      <c r="C687" s="15" t="s">
        <v>66</v>
      </c>
      <c r="D687" s="13" t="s">
        <v>55</v>
      </c>
      <c r="E687" s="19" t="s">
        <v>21</v>
      </c>
      <c r="F687" s="60">
        <v>2251</v>
      </c>
      <c r="G687" s="32">
        <v>100000</v>
      </c>
      <c r="H687" s="208">
        <v>41974</v>
      </c>
      <c r="I687" s="90">
        <v>0</v>
      </c>
      <c r="J687" s="90">
        <f t="shared" si="20"/>
        <v>100000</v>
      </c>
      <c r="K687" s="90" t="str">
        <f t="shared" si="21"/>
        <v>ATRASADO</v>
      </c>
    </row>
    <row r="688" spans="2:11">
      <c r="B688" s="24">
        <v>42035</v>
      </c>
      <c r="C688" s="21" t="s">
        <v>67</v>
      </c>
      <c r="D688" s="13" t="s">
        <v>55</v>
      </c>
      <c r="E688" s="19" t="s">
        <v>21</v>
      </c>
      <c r="F688" s="60">
        <v>2251</v>
      </c>
      <c r="G688" s="32">
        <v>100000</v>
      </c>
      <c r="H688" s="208">
        <v>42035</v>
      </c>
      <c r="I688" s="90">
        <v>0</v>
      </c>
      <c r="J688" s="90">
        <f t="shared" si="20"/>
        <v>100000</v>
      </c>
      <c r="K688" s="90" t="str">
        <f t="shared" si="21"/>
        <v>ATRASADO</v>
      </c>
    </row>
    <row r="689" spans="2:11">
      <c r="B689" s="24">
        <v>42063</v>
      </c>
      <c r="C689" s="21" t="s">
        <v>68</v>
      </c>
      <c r="D689" s="13" t="s">
        <v>55</v>
      </c>
      <c r="E689" s="19" t="s">
        <v>21</v>
      </c>
      <c r="F689" s="60">
        <v>2251</v>
      </c>
      <c r="G689" s="32">
        <v>100000</v>
      </c>
      <c r="H689" s="208">
        <v>42063</v>
      </c>
      <c r="I689" s="90">
        <v>0</v>
      </c>
      <c r="J689" s="90">
        <f t="shared" si="20"/>
        <v>100000</v>
      </c>
      <c r="K689" s="90" t="str">
        <f t="shared" si="21"/>
        <v>ATRASADO</v>
      </c>
    </row>
    <row r="690" spans="2:11">
      <c r="B690" s="24">
        <v>42078</v>
      </c>
      <c r="C690" s="21" t="s">
        <v>69</v>
      </c>
      <c r="D690" s="13" t="s">
        <v>55</v>
      </c>
      <c r="E690" s="19" t="s">
        <v>21</v>
      </c>
      <c r="F690" s="60">
        <v>2251</v>
      </c>
      <c r="G690" s="32">
        <v>100000</v>
      </c>
      <c r="H690" s="208">
        <v>42078</v>
      </c>
      <c r="I690" s="90">
        <v>0</v>
      </c>
      <c r="J690" s="90">
        <f t="shared" si="20"/>
        <v>100000</v>
      </c>
      <c r="K690" s="90" t="str">
        <f t="shared" si="21"/>
        <v>ATRASADO</v>
      </c>
    </row>
    <row r="691" spans="2:11">
      <c r="B691" s="24">
        <v>42109</v>
      </c>
      <c r="C691" s="21" t="s">
        <v>70</v>
      </c>
      <c r="D691" s="13" t="s">
        <v>55</v>
      </c>
      <c r="E691" s="19" t="s">
        <v>21</v>
      </c>
      <c r="F691" s="60">
        <v>2251</v>
      </c>
      <c r="G691" s="32">
        <v>100000</v>
      </c>
      <c r="H691" s="208">
        <v>42109</v>
      </c>
      <c r="I691" s="90">
        <v>0</v>
      </c>
      <c r="J691" s="90">
        <f t="shared" si="20"/>
        <v>100000</v>
      </c>
      <c r="K691" s="90" t="str">
        <f t="shared" si="21"/>
        <v>ATRASADO</v>
      </c>
    </row>
    <row r="692" spans="2:11">
      <c r="B692" s="24">
        <v>42139</v>
      </c>
      <c r="C692" s="21" t="s">
        <v>71</v>
      </c>
      <c r="D692" s="13" t="s">
        <v>55</v>
      </c>
      <c r="E692" s="19" t="s">
        <v>21</v>
      </c>
      <c r="F692" s="60">
        <v>2251</v>
      </c>
      <c r="G692" s="32">
        <v>100000</v>
      </c>
      <c r="H692" s="208">
        <v>42139</v>
      </c>
      <c r="I692" s="90">
        <v>0</v>
      </c>
      <c r="J692" s="90">
        <f t="shared" si="20"/>
        <v>100000</v>
      </c>
      <c r="K692" s="90" t="str">
        <f t="shared" si="21"/>
        <v>ATRASADO</v>
      </c>
    </row>
    <row r="693" spans="2:11">
      <c r="B693" s="24">
        <v>42170</v>
      </c>
      <c r="C693" s="21" t="s">
        <v>72</v>
      </c>
      <c r="D693" s="13" t="s">
        <v>55</v>
      </c>
      <c r="E693" s="19" t="s">
        <v>21</v>
      </c>
      <c r="F693" s="60">
        <v>2251</v>
      </c>
      <c r="G693" s="32">
        <v>100000</v>
      </c>
      <c r="H693" s="208">
        <v>42170</v>
      </c>
      <c r="I693" s="90">
        <v>0</v>
      </c>
      <c r="J693" s="90">
        <f t="shared" si="20"/>
        <v>100000</v>
      </c>
      <c r="K693" s="90" t="str">
        <f t="shared" si="21"/>
        <v>ATRASADO</v>
      </c>
    </row>
    <row r="694" spans="2:11">
      <c r="B694" s="24">
        <v>42200</v>
      </c>
      <c r="C694" s="21" t="s">
        <v>73</v>
      </c>
      <c r="D694" s="13" t="s">
        <v>55</v>
      </c>
      <c r="E694" s="19" t="s">
        <v>21</v>
      </c>
      <c r="F694" s="60">
        <v>2251</v>
      </c>
      <c r="G694" s="32">
        <v>100000</v>
      </c>
      <c r="H694" s="208">
        <v>42200</v>
      </c>
      <c r="I694" s="90">
        <v>0</v>
      </c>
      <c r="J694" s="90">
        <f t="shared" si="20"/>
        <v>100000</v>
      </c>
      <c r="K694" s="90" t="str">
        <f t="shared" si="21"/>
        <v>ATRASADO</v>
      </c>
    </row>
    <row r="695" spans="2:11">
      <c r="B695" s="24">
        <v>42231</v>
      </c>
      <c r="C695" s="21" t="s">
        <v>74</v>
      </c>
      <c r="D695" s="13" t="s">
        <v>55</v>
      </c>
      <c r="E695" s="19" t="s">
        <v>21</v>
      </c>
      <c r="F695" s="60">
        <v>2251</v>
      </c>
      <c r="G695" s="32">
        <v>100000</v>
      </c>
      <c r="H695" s="208">
        <v>42231</v>
      </c>
      <c r="I695" s="90">
        <v>0</v>
      </c>
      <c r="J695" s="90">
        <f t="shared" si="20"/>
        <v>100000</v>
      </c>
      <c r="K695" s="90" t="str">
        <f t="shared" si="21"/>
        <v>ATRASADO</v>
      </c>
    </row>
    <row r="696" spans="2:11">
      <c r="B696" s="24">
        <v>42262</v>
      </c>
      <c r="C696" s="21" t="s">
        <v>75</v>
      </c>
      <c r="D696" s="13" t="s">
        <v>55</v>
      </c>
      <c r="E696" s="19" t="s">
        <v>21</v>
      </c>
      <c r="F696" s="60">
        <v>2251</v>
      </c>
      <c r="G696" s="32">
        <v>100000</v>
      </c>
      <c r="H696" s="208">
        <v>42262</v>
      </c>
      <c r="I696" s="90">
        <v>0</v>
      </c>
      <c r="J696" s="90">
        <f t="shared" si="20"/>
        <v>100000</v>
      </c>
      <c r="K696" s="90" t="str">
        <f t="shared" si="21"/>
        <v>ATRASADO</v>
      </c>
    </row>
    <row r="697" spans="2:11">
      <c r="B697" s="24">
        <v>42292</v>
      </c>
      <c r="C697" s="21" t="s">
        <v>76</v>
      </c>
      <c r="D697" s="13" t="s">
        <v>55</v>
      </c>
      <c r="E697" s="19" t="s">
        <v>21</v>
      </c>
      <c r="F697" s="60">
        <v>2251</v>
      </c>
      <c r="G697" s="32">
        <v>100000</v>
      </c>
      <c r="H697" s="208">
        <v>42292</v>
      </c>
      <c r="I697" s="90">
        <v>0</v>
      </c>
      <c r="J697" s="90">
        <f t="shared" si="20"/>
        <v>100000</v>
      </c>
      <c r="K697" s="90" t="str">
        <f t="shared" si="21"/>
        <v>ATRASADO</v>
      </c>
    </row>
    <row r="698" spans="2:11">
      <c r="B698" s="24">
        <v>42323</v>
      </c>
      <c r="C698" s="21" t="s">
        <v>77</v>
      </c>
      <c r="D698" s="13" t="s">
        <v>55</v>
      </c>
      <c r="E698" s="19" t="s">
        <v>21</v>
      </c>
      <c r="F698" s="60">
        <v>2251</v>
      </c>
      <c r="G698" s="32">
        <v>100000</v>
      </c>
      <c r="H698" s="208">
        <v>42323</v>
      </c>
      <c r="I698" s="90">
        <v>0</v>
      </c>
      <c r="J698" s="90">
        <f t="shared" si="20"/>
        <v>100000</v>
      </c>
      <c r="K698" s="90" t="str">
        <f t="shared" si="21"/>
        <v>ATRASADO</v>
      </c>
    </row>
    <row r="699" spans="2:11">
      <c r="B699" s="24">
        <v>42353</v>
      </c>
      <c r="C699" s="21" t="s">
        <v>78</v>
      </c>
      <c r="D699" s="13" t="s">
        <v>55</v>
      </c>
      <c r="E699" s="19" t="s">
        <v>21</v>
      </c>
      <c r="F699" s="60">
        <v>2251</v>
      </c>
      <c r="G699" s="32">
        <v>100000</v>
      </c>
      <c r="H699" s="208">
        <v>42353</v>
      </c>
      <c r="I699" s="90">
        <v>0</v>
      </c>
      <c r="J699" s="90">
        <f t="shared" si="20"/>
        <v>100000</v>
      </c>
      <c r="K699" s="90" t="str">
        <f t="shared" si="21"/>
        <v>ATRASADO</v>
      </c>
    </row>
    <row r="700" spans="2:11">
      <c r="B700" s="24">
        <v>42384</v>
      </c>
      <c r="C700" s="21" t="s">
        <v>79</v>
      </c>
      <c r="D700" s="13" t="s">
        <v>55</v>
      </c>
      <c r="E700" s="19" t="s">
        <v>21</v>
      </c>
      <c r="F700" s="60">
        <v>2251</v>
      </c>
      <c r="G700" s="32">
        <v>100000</v>
      </c>
      <c r="H700" s="208">
        <v>42384</v>
      </c>
      <c r="I700" s="90">
        <v>0</v>
      </c>
      <c r="J700" s="90">
        <f t="shared" si="20"/>
        <v>100000</v>
      </c>
      <c r="K700" s="90" t="str">
        <f t="shared" si="21"/>
        <v>ATRASADO</v>
      </c>
    </row>
    <row r="701" spans="2:11">
      <c r="B701" s="24">
        <v>42415</v>
      </c>
      <c r="C701" s="21" t="s">
        <v>80</v>
      </c>
      <c r="D701" s="13" t="s">
        <v>55</v>
      </c>
      <c r="E701" s="19" t="s">
        <v>21</v>
      </c>
      <c r="F701" s="60">
        <v>2251</v>
      </c>
      <c r="G701" s="32">
        <v>100000</v>
      </c>
      <c r="H701" s="208">
        <v>42415</v>
      </c>
      <c r="I701" s="90">
        <v>0</v>
      </c>
      <c r="J701" s="90">
        <f t="shared" si="20"/>
        <v>100000</v>
      </c>
      <c r="K701" s="90" t="str">
        <f t="shared" si="21"/>
        <v>ATRASADO</v>
      </c>
    </row>
    <row r="702" spans="2:11">
      <c r="B702" s="24">
        <v>42444</v>
      </c>
      <c r="C702" s="21" t="s">
        <v>81</v>
      </c>
      <c r="D702" s="13" t="s">
        <v>55</v>
      </c>
      <c r="E702" s="19" t="s">
        <v>21</v>
      </c>
      <c r="F702" s="60">
        <v>2251</v>
      </c>
      <c r="G702" s="32">
        <v>100000</v>
      </c>
      <c r="H702" s="208">
        <v>42444</v>
      </c>
      <c r="I702" s="90">
        <v>0</v>
      </c>
      <c r="J702" s="90">
        <f t="shared" si="20"/>
        <v>100000</v>
      </c>
      <c r="K702" s="90" t="str">
        <f t="shared" si="21"/>
        <v>ATRASADO</v>
      </c>
    </row>
    <row r="703" spans="2:11">
      <c r="B703" s="24">
        <v>42475</v>
      </c>
      <c r="C703" s="21" t="s">
        <v>82</v>
      </c>
      <c r="D703" s="13" t="s">
        <v>55</v>
      </c>
      <c r="E703" s="19" t="s">
        <v>21</v>
      </c>
      <c r="F703" s="60">
        <v>2251</v>
      </c>
      <c r="G703" s="32">
        <v>100000</v>
      </c>
      <c r="H703" s="208">
        <v>42475</v>
      </c>
      <c r="I703" s="90">
        <v>0</v>
      </c>
      <c r="J703" s="90">
        <f t="shared" si="20"/>
        <v>100000</v>
      </c>
      <c r="K703" s="90" t="str">
        <f t="shared" si="21"/>
        <v>ATRASADO</v>
      </c>
    </row>
    <row r="704" spans="2:11">
      <c r="B704" s="24">
        <v>42505</v>
      </c>
      <c r="C704" s="21" t="s">
        <v>83</v>
      </c>
      <c r="D704" s="13" t="s">
        <v>55</v>
      </c>
      <c r="E704" s="19" t="s">
        <v>21</v>
      </c>
      <c r="F704" s="60">
        <v>2251</v>
      </c>
      <c r="G704" s="32">
        <v>100000</v>
      </c>
      <c r="H704" s="208">
        <v>42505</v>
      </c>
      <c r="I704" s="90">
        <v>0</v>
      </c>
      <c r="J704" s="90">
        <f t="shared" si="20"/>
        <v>100000</v>
      </c>
      <c r="K704" s="90" t="str">
        <f t="shared" si="21"/>
        <v>ATRASADO</v>
      </c>
    </row>
    <row r="705" spans="2:11">
      <c r="B705" s="24">
        <v>42536</v>
      </c>
      <c r="C705" s="21" t="s">
        <v>84</v>
      </c>
      <c r="D705" s="13" t="s">
        <v>55</v>
      </c>
      <c r="E705" s="19" t="s">
        <v>21</v>
      </c>
      <c r="F705" s="60">
        <v>2251</v>
      </c>
      <c r="G705" s="32">
        <v>100000</v>
      </c>
      <c r="H705" s="208">
        <v>42536</v>
      </c>
      <c r="I705" s="90">
        <v>0</v>
      </c>
      <c r="J705" s="90">
        <f t="shared" si="20"/>
        <v>100000</v>
      </c>
      <c r="K705" s="90" t="str">
        <f t="shared" si="21"/>
        <v>ATRASADO</v>
      </c>
    </row>
    <row r="706" spans="2:11">
      <c r="B706" s="24">
        <v>42566</v>
      </c>
      <c r="C706" s="21" t="s">
        <v>85</v>
      </c>
      <c r="D706" s="13" t="s">
        <v>55</v>
      </c>
      <c r="E706" s="19" t="s">
        <v>21</v>
      </c>
      <c r="F706" s="60">
        <v>2251</v>
      </c>
      <c r="G706" s="32">
        <v>100000</v>
      </c>
      <c r="H706" s="208">
        <v>42566</v>
      </c>
      <c r="I706" s="90">
        <v>0</v>
      </c>
      <c r="J706" s="90">
        <f t="shared" si="20"/>
        <v>100000</v>
      </c>
      <c r="K706" s="90" t="str">
        <f t="shared" si="21"/>
        <v>ATRASADO</v>
      </c>
    </row>
    <row r="707" spans="2:11">
      <c r="B707" s="24">
        <v>42597</v>
      </c>
      <c r="C707" s="21" t="s">
        <v>86</v>
      </c>
      <c r="D707" s="13" t="s">
        <v>55</v>
      </c>
      <c r="E707" s="19" t="s">
        <v>21</v>
      </c>
      <c r="F707" s="60">
        <v>2251</v>
      </c>
      <c r="G707" s="32">
        <v>100000</v>
      </c>
      <c r="H707" s="208">
        <v>42597</v>
      </c>
      <c r="I707" s="90">
        <v>0</v>
      </c>
      <c r="J707" s="90">
        <f t="shared" si="20"/>
        <v>100000</v>
      </c>
      <c r="K707" s="90" t="str">
        <f t="shared" si="21"/>
        <v>ATRASADO</v>
      </c>
    </row>
    <row r="708" spans="2:11">
      <c r="B708" s="36">
        <v>40726</v>
      </c>
      <c r="C708" s="38" t="s">
        <v>262</v>
      </c>
      <c r="D708" s="13" t="s">
        <v>55</v>
      </c>
      <c r="E708" s="19" t="s">
        <v>21</v>
      </c>
      <c r="F708" s="60">
        <v>2251</v>
      </c>
      <c r="G708" s="32">
        <v>100000</v>
      </c>
      <c r="H708" s="208">
        <v>40726</v>
      </c>
      <c r="I708" s="90">
        <v>0</v>
      </c>
      <c r="J708" s="90">
        <f t="shared" si="20"/>
        <v>100000</v>
      </c>
      <c r="K708" s="90" t="str">
        <f t="shared" si="21"/>
        <v>ATRASADO</v>
      </c>
    </row>
    <row r="709" spans="2:11">
      <c r="B709" s="36">
        <v>40726</v>
      </c>
      <c r="C709" s="38" t="s">
        <v>264</v>
      </c>
      <c r="D709" s="13" t="s">
        <v>55</v>
      </c>
      <c r="E709" s="19" t="s">
        <v>21</v>
      </c>
      <c r="F709" s="60">
        <v>2251</v>
      </c>
      <c r="G709" s="32">
        <v>100000</v>
      </c>
      <c r="H709" s="208">
        <v>40726</v>
      </c>
      <c r="I709" s="90">
        <v>0</v>
      </c>
      <c r="J709" s="90">
        <f t="shared" si="20"/>
        <v>100000</v>
      </c>
      <c r="K709" s="90" t="str">
        <f t="shared" si="21"/>
        <v>ATRASADO</v>
      </c>
    </row>
    <row r="710" spans="2:11">
      <c r="B710" s="36">
        <v>40788</v>
      </c>
      <c r="C710" s="38" t="s">
        <v>265</v>
      </c>
      <c r="D710" s="13" t="s">
        <v>55</v>
      </c>
      <c r="E710" s="19" t="s">
        <v>21</v>
      </c>
      <c r="F710" s="60">
        <v>2251</v>
      </c>
      <c r="G710" s="32">
        <v>100000</v>
      </c>
      <c r="H710" s="208">
        <v>40788</v>
      </c>
      <c r="I710" s="90">
        <v>0</v>
      </c>
      <c r="J710" s="90">
        <f t="shared" si="20"/>
        <v>100000</v>
      </c>
      <c r="K710" s="90" t="str">
        <f t="shared" si="21"/>
        <v>ATRASADO</v>
      </c>
    </row>
    <row r="711" spans="2:11">
      <c r="B711" s="36">
        <v>40847</v>
      </c>
      <c r="C711" s="38" t="s">
        <v>266</v>
      </c>
      <c r="D711" s="13" t="s">
        <v>55</v>
      </c>
      <c r="E711" s="19" t="s">
        <v>21</v>
      </c>
      <c r="F711" s="60">
        <v>2251</v>
      </c>
      <c r="G711" s="32">
        <v>100000</v>
      </c>
      <c r="H711" s="208">
        <v>40847</v>
      </c>
      <c r="I711" s="90">
        <v>0</v>
      </c>
      <c r="J711" s="90">
        <f t="shared" si="20"/>
        <v>100000</v>
      </c>
      <c r="K711" s="90" t="str">
        <f t="shared" si="21"/>
        <v>ATRASADO</v>
      </c>
    </row>
    <row r="712" spans="2:11">
      <c r="B712" s="36">
        <v>40849</v>
      </c>
      <c r="C712" s="38" t="s">
        <v>267</v>
      </c>
      <c r="D712" s="13" t="s">
        <v>55</v>
      </c>
      <c r="E712" s="19" t="s">
        <v>21</v>
      </c>
      <c r="F712" s="60">
        <v>2251</v>
      </c>
      <c r="G712" s="32">
        <v>100000</v>
      </c>
      <c r="H712" s="208">
        <v>40849</v>
      </c>
      <c r="I712" s="90">
        <v>0</v>
      </c>
      <c r="J712" s="90">
        <f t="shared" si="20"/>
        <v>100000</v>
      </c>
      <c r="K712" s="90" t="str">
        <f t="shared" si="21"/>
        <v>ATRASADO</v>
      </c>
    </row>
    <row r="713" spans="2:11">
      <c r="B713" s="36">
        <v>40599</v>
      </c>
      <c r="C713" s="38" t="s">
        <v>384</v>
      </c>
      <c r="D713" s="13" t="s">
        <v>55</v>
      </c>
      <c r="E713" s="19" t="s">
        <v>21</v>
      </c>
      <c r="F713" s="60">
        <v>2251</v>
      </c>
      <c r="G713" s="32">
        <v>100000</v>
      </c>
      <c r="H713" s="208">
        <v>40599</v>
      </c>
      <c r="I713" s="90">
        <v>0</v>
      </c>
      <c r="J713" s="90">
        <f t="shared" si="20"/>
        <v>100000</v>
      </c>
      <c r="K713" s="90" t="str">
        <f t="shared" si="21"/>
        <v>ATRASADO</v>
      </c>
    </row>
    <row r="714" spans="2:11" ht="24.75">
      <c r="B714" s="36">
        <v>40724</v>
      </c>
      <c r="C714" s="38" t="s">
        <v>385</v>
      </c>
      <c r="D714" s="13" t="s">
        <v>679</v>
      </c>
      <c r="E714" s="19" t="s">
        <v>21</v>
      </c>
      <c r="F714" s="60">
        <v>2251</v>
      </c>
      <c r="G714" s="32">
        <v>500000</v>
      </c>
      <c r="H714" s="208">
        <v>40724</v>
      </c>
      <c r="I714" s="90">
        <v>0</v>
      </c>
      <c r="J714" s="90">
        <f t="shared" si="20"/>
        <v>500000</v>
      </c>
      <c r="K714" s="90" t="str">
        <f t="shared" si="21"/>
        <v>ATRASADO</v>
      </c>
    </row>
    <row r="715" spans="2:11">
      <c r="B715" s="36"/>
      <c r="C715" s="38"/>
      <c r="D715" s="13"/>
      <c r="E715" s="19"/>
      <c r="F715" s="60"/>
      <c r="G715" s="32"/>
      <c r="H715" s="208"/>
      <c r="I715" s="90"/>
      <c r="J715" s="90" t="str">
        <f t="shared" si="20"/>
        <v/>
      </c>
      <c r="K715" s="90"/>
    </row>
    <row r="716" spans="2:11">
      <c r="B716" s="23">
        <v>41560</v>
      </c>
      <c r="C716" s="18" t="s">
        <v>90</v>
      </c>
      <c r="D716" s="13" t="s">
        <v>91</v>
      </c>
      <c r="E716" s="19" t="s">
        <v>21</v>
      </c>
      <c r="F716" s="60">
        <v>2251</v>
      </c>
      <c r="G716" s="32">
        <v>33333.33</v>
      </c>
      <c r="H716" s="218">
        <v>41560</v>
      </c>
      <c r="I716" s="90">
        <v>0</v>
      </c>
      <c r="J716" s="90">
        <f t="shared" si="20"/>
        <v>33333.33</v>
      </c>
      <c r="K716" s="90" t="str">
        <f t="shared" si="21"/>
        <v>ATRASADO</v>
      </c>
    </row>
    <row r="717" spans="2:11">
      <c r="B717" s="10"/>
      <c r="C717" s="12"/>
      <c r="D717" s="13"/>
      <c r="E717" s="19"/>
      <c r="F717" s="60"/>
      <c r="G717" s="32"/>
      <c r="H717" s="208"/>
      <c r="I717" s="90"/>
      <c r="J717" s="90" t="str">
        <f t="shared" si="20"/>
        <v/>
      </c>
      <c r="K717" s="90"/>
    </row>
    <row r="718" spans="2:11">
      <c r="B718" s="10">
        <v>41810</v>
      </c>
      <c r="C718" s="16">
        <v>1500002197</v>
      </c>
      <c r="D718" s="13" t="s">
        <v>29</v>
      </c>
      <c r="E718" s="19" t="s">
        <v>20</v>
      </c>
      <c r="F718" s="60">
        <v>2254</v>
      </c>
      <c r="G718" s="32">
        <f>161973-67107.34</f>
        <v>94865.66</v>
      </c>
      <c r="H718" s="208">
        <v>41810</v>
      </c>
      <c r="I718" s="90">
        <v>0</v>
      </c>
      <c r="J718" s="90">
        <f t="shared" si="20"/>
        <v>94865.66</v>
      </c>
      <c r="K718" s="90" t="str">
        <f t="shared" si="21"/>
        <v>ATRASADO</v>
      </c>
    </row>
    <row r="719" spans="2:11">
      <c r="B719" s="10">
        <v>41810</v>
      </c>
      <c r="C719" s="16">
        <v>1500002199</v>
      </c>
      <c r="D719" s="13" t="s">
        <v>29</v>
      </c>
      <c r="E719" s="19" t="s">
        <v>20</v>
      </c>
      <c r="F719" s="60">
        <v>2254</v>
      </c>
      <c r="G719" s="32">
        <v>161973</v>
      </c>
      <c r="H719" s="208">
        <v>41810</v>
      </c>
      <c r="I719" s="90">
        <v>0</v>
      </c>
      <c r="J719" s="90">
        <f t="shared" si="20"/>
        <v>161973</v>
      </c>
      <c r="K719" s="90" t="str">
        <f t="shared" si="21"/>
        <v>ATRASADO</v>
      </c>
    </row>
    <row r="720" spans="2:11">
      <c r="B720" s="10">
        <v>41810</v>
      </c>
      <c r="C720" s="16">
        <v>1500002205</v>
      </c>
      <c r="D720" s="13" t="s">
        <v>29</v>
      </c>
      <c r="E720" s="19" t="s">
        <v>20</v>
      </c>
      <c r="F720" s="60">
        <v>2254</v>
      </c>
      <c r="G720" s="32">
        <v>43192.81</v>
      </c>
      <c r="H720" s="208">
        <v>41810</v>
      </c>
      <c r="I720" s="90">
        <v>0</v>
      </c>
      <c r="J720" s="90">
        <f t="shared" ref="J720:J783" si="22">IF(G720&gt;0,G720,"")</f>
        <v>43192.81</v>
      </c>
      <c r="K720" s="90" t="str">
        <f t="shared" si="21"/>
        <v>ATRASADO</v>
      </c>
    </row>
    <row r="721" spans="2:11">
      <c r="B721" s="10">
        <v>41555</v>
      </c>
      <c r="C721" s="16">
        <v>1500002218</v>
      </c>
      <c r="D721" s="13" t="s">
        <v>29</v>
      </c>
      <c r="E721" s="19" t="s">
        <v>20</v>
      </c>
      <c r="F721" s="60">
        <v>2254</v>
      </c>
      <c r="G721" s="32">
        <v>71280.94</v>
      </c>
      <c r="H721" s="208">
        <v>41555</v>
      </c>
      <c r="I721" s="90">
        <v>0</v>
      </c>
      <c r="J721" s="90">
        <f t="shared" si="22"/>
        <v>71280.94</v>
      </c>
      <c r="K721" s="90" t="str">
        <f t="shared" si="21"/>
        <v>ATRASADO</v>
      </c>
    </row>
    <row r="722" spans="2:11">
      <c r="B722" s="10">
        <v>41595</v>
      </c>
      <c r="C722" s="16">
        <v>1500002227</v>
      </c>
      <c r="D722" s="13" t="s">
        <v>29</v>
      </c>
      <c r="E722" s="19" t="s">
        <v>20</v>
      </c>
      <c r="F722" s="60">
        <v>2254</v>
      </c>
      <c r="G722" s="32">
        <v>188496.1</v>
      </c>
      <c r="H722" s="208">
        <v>41595</v>
      </c>
      <c r="I722" s="90">
        <v>0</v>
      </c>
      <c r="J722" s="90">
        <f t="shared" si="22"/>
        <v>188496.1</v>
      </c>
      <c r="K722" s="90" t="str">
        <f t="shared" si="21"/>
        <v>ATRASADO</v>
      </c>
    </row>
    <row r="723" spans="2:11">
      <c r="B723" s="10">
        <v>41810</v>
      </c>
      <c r="C723" s="16">
        <v>1500002233</v>
      </c>
      <c r="D723" s="13" t="s">
        <v>29</v>
      </c>
      <c r="E723" s="19" t="s">
        <v>20</v>
      </c>
      <c r="F723" s="60">
        <v>2254</v>
      </c>
      <c r="G723" s="32">
        <v>90211.25</v>
      </c>
      <c r="H723" s="208">
        <v>41810</v>
      </c>
      <c r="I723" s="90">
        <v>0</v>
      </c>
      <c r="J723" s="90">
        <f t="shared" si="22"/>
        <v>90211.25</v>
      </c>
      <c r="K723" s="90" t="str">
        <f t="shared" si="21"/>
        <v>ATRASADO</v>
      </c>
    </row>
    <row r="724" spans="2:11">
      <c r="B724" s="10">
        <v>41810</v>
      </c>
      <c r="C724" s="16">
        <v>1500002238</v>
      </c>
      <c r="D724" s="13" t="s">
        <v>29</v>
      </c>
      <c r="E724" s="19" t="s">
        <v>20</v>
      </c>
      <c r="F724" s="60">
        <v>2254</v>
      </c>
      <c r="G724" s="32">
        <v>68737.27</v>
      </c>
      <c r="H724" s="208">
        <v>41810</v>
      </c>
      <c r="I724" s="90">
        <v>0</v>
      </c>
      <c r="J724" s="90">
        <f t="shared" si="22"/>
        <v>68737.27</v>
      </c>
      <c r="K724" s="90" t="str">
        <f t="shared" si="21"/>
        <v>ATRASADO</v>
      </c>
    </row>
    <row r="725" spans="2:11">
      <c r="B725" s="10">
        <v>41604</v>
      </c>
      <c r="C725" s="16">
        <v>1500002283</v>
      </c>
      <c r="D725" s="13" t="s">
        <v>29</v>
      </c>
      <c r="E725" s="19" t="s">
        <v>20</v>
      </c>
      <c r="F725" s="60">
        <v>2254</v>
      </c>
      <c r="G725" s="32">
        <v>131947.29999999999</v>
      </c>
      <c r="H725" s="208">
        <v>41604</v>
      </c>
      <c r="I725" s="90">
        <v>0</v>
      </c>
      <c r="J725" s="90">
        <f t="shared" si="22"/>
        <v>131947.29999999999</v>
      </c>
      <c r="K725" s="90" t="str">
        <f t="shared" si="21"/>
        <v>ATRASADO</v>
      </c>
    </row>
    <row r="726" spans="2:11">
      <c r="B726" s="10">
        <v>41635</v>
      </c>
      <c r="C726" s="16">
        <v>1500002285</v>
      </c>
      <c r="D726" s="13" t="s">
        <v>29</v>
      </c>
      <c r="E726" s="19" t="s">
        <v>20</v>
      </c>
      <c r="F726" s="60">
        <v>2254</v>
      </c>
      <c r="G726" s="32">
        <v>188496.1</v>
      </c>
      <c r="H726" s="208">
        <v>41635</v>
      </c>
      <c r="I726" s="90">
        <v>0</v>
      </c>
      <c r="J726" s="90">
        <f t="shared" si="22"/>
        <v>188496.1</v>
      </c>
      <c r="K726" s="90" t="str">
        <f t="shared" si="21"/>
        <v>ATRASADO</v>
      </c>
    </row>
    <row r="727" spans="2:11">
      <c r="B727" s="10">
        <v>41646</v>
      </c>
      <c r="C727" s="16">
        <v>1500002301</v>
      </c>
      <c r="D727" s="13" t="s">
        <v>29</v>
      </c>
      <c r="E727" s="19" t="s">
        <v>20</v>
      </c>
      <c r="F727" s="60">
        <v>2254</v>
      </c>
      <c r="G727" s="32">
        <v>444431.4</v>
      </c>
      <c r="H727" s="208">
        <v>41646</v>
      </c>
      <c r="I727" s="90">
        <v>0</v>
      </c>
      <c r="J727" s="90">
        <f t="shared" si="22"/>
        <v>444431.4</v>
      </c>
      <c r="K727" s="90" t="str">
        <f t="shared" si="21"/>
        <v>ATRASADO</v>
      </c>
    </row>
    <row r="728" spans="2:11">
      <c r="B728" s="10">
        <v>41619</v>
      </c>
      <c r="C728" s="16">
        <v>1500002302</v>
      </c>
      <c r="D728" s="13" t="s">
        <v>29</v>
      </c>
      <c r="E728" s="19" t="s">
        <v>20</v>
      </c>
      <c r="F728" s="60">
        <v>2254</v>
      </c>
      <c r="G728" s="32">
        <v>188512.9</v>
      </c>
      <c r="H728" s="208">
        <v>41619</v>
      </c>
      <c r="I728" s="90">
        <v>0</v>
      </c>
      <c r="J728" s="90">
        <f t="shared" si="22"/>
        <v>188512.9</v>
      </c>
      <c r="K728" s="90" t="str">
        <f t="shared" si="21"/>
        <v>ATRASADO</v>
      </c>
    </row>
    <row r="729" spans="2:11">
      <c r="B729" s="10">
        <v>41619</v>
      </c>
      <c r="C729" s="16">
        <v>1500002304</v>
      </c>
      <c r="D729" s="13" t="s">
        <v>29</v>
      </c>
      <c r="E729" s="19" t="s">
        <v>20</v>
      </c>
      <c r="F729" s="60">
        <v>2254</v>
      </c>
      <c r="G729" s="32">
        <v>188512.9</v>
      </c>
      <c r="H729" s="208">
        <v>41619</v>
      </c>
      <c r="I729" s="90">
        <v>0</v>
      </c>
      <c r="J729" s="90">
        <f t="shared" si="22"/>
        <v>188512.9</v>
      </c>
      <c r="K729" s="90" t="str">
        <f t="shared" si="21"/>
        <v>ATRASADO</v>
      </c>
    </row>
    <row r="730" spans="2:11">
      <c r="B730" s="10">
        <v>41619</v>
      </c>
      <c r="C730" s="16">
        <v>1500002305</v>
      </c>
      <c r="D730" s="13" t="s">
        <v>29</v>
      </c>
      <c r="E730" s="19" t="s">
        <v>20</v>
      </c>
      <c r="F730" s="60">
        <v>2254</v>
      </c>
      <c r="G730" s="32">
        <v>188512.9</v>
      </c>
      <c r="H730" s="208">
        <v>41619</v>
      </c>
      <c r="I730" s="90">
        <v>0</v>
      </c>
      <c r="J730" s="90">
        <f t="shared" si="22"/>
        <v>188512.9</v>
      </c>
      <c r="K730" s="90" t="str">
        <f t="shared" si="21"/>
        <v>ATRASADO</v>
      </c>
    </row>
    <row r="731" spans="2:11">
      <c r="B731" s="10">
        <v>41810</v>
      </c>
      <c r="C731" s="16">
        <v>1500002312</v>
      </c>
      <c r="D731" s="13" t="s">
        <v>29</v>
      </c>
      <c r="E731" s="19" t="s">
        <v>20</v>
      </c>
      <c r="F731" s="60">
        <v>2254</v>
      </c>
      <c r="G731" s="32">
        <v>157094.1</v>
      </c>
      <c r="H731" s="208">
        <v>41810</v>
      </c>
      <c r="I731" s="90">
        <v>0</v>
      </c>
      <c r="J731" s="90">
        <f t="shared" si="22"/>
        <v>157094.1</v>
      </c>
      <c r="K731" s="90" t="str">
        <f t="shared" si="21"/>
        <v>ATRASADO</v>
      </c>
    </row>
    <row r="732" spans="2:11">
      <c r="B732" s="10">
        <v>41635</v>
      </c>
      <c r="C732" s="16">
        <v>1500002313</v>
      </c>
      <c r="D732" s="13" t="s">
        <v>29</v>
      </c>
      <c r="E732" s="19" t="s">
        <v>20</v>
      </c>
      <c r="F732" s="60">
        <v>2254</v>
      </c>
      <c r="G732" s="32">
        <v>157094.1</v>
      </c>
      <c r="H732" s="208">
        <v>41635</v>
      </c>
      <c r="I732" s="90">
        <v>0</v>
      </c>
      <c r="J732" s="90">
        <f t="shared" si="22"/>
        <v>157094.1</v>
      </c>
      <c r="K732" s="90" t="str">
        <f t="shared" si="21"/>
        <v>ATRASADO</v>
      </c>
    </row>
    <row r="733" spans="2:11">
      <c r="B733" s="10">
        <v>41662</v>
      </c>
      <c r="C733" s="16">
        <v>1500002314</v>
      </c>
      <c r="D733" s="13" t="s">
        <v>29</v>
      </c>
      <c r="E733" s="19" t="s">
        <v>20</v>
      </c>
      <c r="F733" s="60">
        <v>2254</v>
      </c>
      <c r="G733" s="32">
        <v>59940.22</v>
      </c>
      <c r="H733" s="208">
        <v>41662</v>
      </c>
      <c r="I733" s="90">
        <v>0</v>
      </c>
      <c r="J733" s="90">
        <f t="shared" si="22"/>
        <v>59940.22</v>
      </c>
      <c r="K733" s="90" t="str">
        <f t="shared" si="21"/>
        <v>ATRASADO</v>
      </c>
    </row>
    <row r="734" spans="2:11">
      <c r="B734" s="10">
        <v>41665</v>
      </c>
      <c r="C734" s="16">
        <v>1500002320</v>
      </c>
      <c r="D734" s="13" t="s">
        <v>29</v>
      </c>
      <c r="E734" s="19" t="s">
        <v>20</v>
      </c>
      <c r="F734" s="60">
        <v>2254</v>
      </c>
      <c r="G734" s="32">
        <v>190687.9</v>
      </c>
      <c r="H734" s="208">
        <v>41665</v>
      </c>
      <c r="I734" s="90">
        <v>0</v>
      </c>
      <c r="J734" s="90">
        <f t="shared" si="22"/>
        <v>190687.9</v>
      </c>
      <c r="K734" s="90" t="str">
        <f t="shared" si="21"/>
        <v>ATRASADO</v>
      </c>
    </row>
    <row r="735" spans="2:11">
      <c r="B735" s="10">
        <v>41670</v>
      </c>
      <c r="C735" s="16">
        <v>1500002321</v>
      </c>
      <c r="D735" s="13" t="s">
        <v>29</v>
      </c>
      <c r="E735" s="19" t="s">
        <v>20</v>
      </c>
      <c r="F735" s="60">
        <v>2254</v>
      </c>
      <c r="G735" s="32">
        <v>190687.9</v>
      </c>
      <c r="H735" s="208">
        <v>41670</v>
      </c>
      <c r="I735" s="90">
        <v>0</v>
      </c>
      <c r="J735" s="90">
        <f t="shared" si="22"/>
        <v>190687.9</v>
      </c>
      <c r="K735" s="90" t="str">
        <f t="shared" si="21"/>
        <v>ATRASADO</v>
      </c>
    </row>
    <row r="736" spans="2:11">
      <c r="B736" s="10">
        <v>41952</v>
      </c>
      <c r="C736" s="16">
        <v>1500002324</v>
      </c>
      <c r="D736" s="13" t="s">
        <v>29</v>
      </c>
      <c r="E736" s="19" t="s">
        <v>20</v>
      </c>
      <c r="F736" s="60">
        <v>2254</v>
      </c>
      <c r="G736" s="32">
        <v>190687.9</v>
      </c>
      <c r="H736" s="208">
        <v>41952</v>
      </c>
      <c r="I736" s="90">
        <v>0</v>
      </c>
      <c r="J736" s="90">
        <f t="shared" si="22"/>
        <v>190687.9</v>
      </c>
      <c r="K736" s="90" t="str">
        <f t="shared" si="21"/>
        <v>ATRASADO</v>
      </c>
    </row>
    <row r="737" spans="2:11">
      <c r="B737" s="10">
        <v>41732</v>
      </c>
      <c r="C737" s="16">
        <v>1500002410</v>
      </c>
      <c r="D737" s="13" t="s">
        <v>29</v>
      </c>
      <c r="E737" s="19" t="s">
        <v>20</v>
      </c>
      <c r="F737" s="60">
        <v>2254</v>
      </c>
      <c r="G737" s="32">
        <v>39515.369999999995</v>
      </c>
      <c r="H737" s="208">
        <v>41732</v>
      </c>
      <c r="I737" s="90">
        <v>0</v>
      </c>
      <c r="J737" s="90">
        <f t="shared" si="22"/>
        <v>39515.369999999995</v>
      </c>
      <c r="K737" s="90" t="str">
        <f t="shared" si="21"/>
        <v>ATRASADO</v>
      </c>
    </row>
    <row r="738" spans="2:11">
      <c r="B738" s="10">
        <v>41978</v>
      </c>
      <c r="C738" s="16">
        <v>1500002701</v>
      </c>
      <c r="D738" s="13" t="s">
        <v>29</v>
      </c>
      <c r="E738" s="19" t="s">
        <v>20</v>
      </c>
      <c r="F738" s="60">
        <v>2254</v>
      </c>
      <c r="G738" s="32">
        <v>199008.9</v>
      </c>
      <c r="H738" s="208">
        <v>41978</v>
      </c>
      <c r="I738" s="90">
        <v>0</v>
      </c>
      <c r="J738" s="90">
        <f t="shared" si="22"/>
        <v>199008.9</v>
      </c>
      <c r="K738" s="90" t="str">
        <f t="shared" si="21"/>
        <v>ATRASADO</v>
      </c>
    </row>
    <row r="739" spans="2:11">
      <c r="B739" s="10">
        <v>42387</v>
      </c>
      <c r="C739" s="16">
        <v>1500002872</v>
      </c>
      <c r="D739" s="13" t="s">
        <v>29</v>
      </c>
      <c r="E739" s="19" t="s">
        <v>20</v>
      </c>
      <c r="F739" s="60">
        <v>2254</v>
      </c>
      <c r="G739" s="32">
        <v>64338.8</v>
      </c>
      <c r="H739" s="208">
        <v>42387</v>
      </c>
      <c r="I739" s="90">
        <v>0</v>
      </c>
      <c r="J739" s="90">
        <f t="shared" si="22"/>
        <v>64338.8</v>
      </c>
      <c r="K739" s="90" t="str">
        <f t="shared" si="21"/>
        <v>ATRASADO</v>
      </c>
    </row>
    <row r="740" spans="2:11">
      <c r="B740" s="10">
        <v>42387</v>
      </c>
      <c r="C740" s="16">
        <v>1500002873</v>
      </c>
      <c r="D740" s="13" t="s">
        <v>29</v>
      </c>
      <c r="E740" s="19" t="s">
        <v>20</v>
      </c>
      <c r="F740" s="60">
        <v>2254</v>
      </c>
      <c r="G740" s="32">
        <v>64338.8</v>
      </c>
      <c r="H740" s="208">
        <v>42387</v>
      </c>
      <c r="I740" s="90">
        <v>0</v>
      </c>
      <c r="J740" s="90">
        <f t="shared" si="22"/>
        <v>64338.8</v>
      </c>
      <c r="K740" s="90" t="str">
        <f t="shared" si="21"/>
        <v>ATRASADO</v>
      </c>
    </row>
    <row r="741" spans="2:11">
      <c r="B741" s="10">
        <v>42397</v>
      </c>
      <c r="C741" s="16">
        <v>1500002877</v>
      </c>
      <c r="D741" s="13" t="s">
        <v>29</v>
      </c>
      <c r="E741" s="19" t="s">
        <v>20</v>
      </c>
      <c r="F741" s="60">
        <v>2254</v>
      </c>
      <c r="G741" s="32">
        <v>78585.59</v>
      </c>
      <c r="H741" s="208">
        <v>42397</v>
      </c>
      <c r="I741" s="90">
        <v>0</v>
      </c>
      <c r="J741" s="90">
        <f t="shared" si="22"/>
        <v>78585.59</v>
      </c>
      <c r="K741" s="90" t="str">
        <f t="shared" si="21"/>
        <v>ATRASADO</v>
      </c>
    </row>
    <row r="742" spans="2:11">
      <c r="B742" s="10">
        <v>42397</v>
      </c>
      <c r="C742" s="16">
        <v>1500002878</v>
      </c>
      <c r="D742" s="13" t="s">
        <v>29</v>
      </c>
      <c r="E742" s="19" t="s">
        <v>20</v>
      </c>
      <c r="F742" s="60">
        <v>2254</v>
      </c>
      <c r="G742" s="32">
        <v>17517.82</v>
      </c>
      <c r="H742" s="208">
        <v>42397</v>
      </c>
      <c r="I742" s="90">
        <v>0</v>
      </c>
      <c r="J742" s="90">
        <f t="shared" si="22"/>
        <v>17517.82</v>
      </c>
      <c r="K742" s="90" t="str">
        <f t="shared" si="21"/>
        <v>ATRASADO</v>
      </c>
    </row>
    <row r="743" spans="2:11">
      <c r="B743" s="10">
        <v>42397</v>
      </c>
      <c r="C743" s="16">
        <v>1500002879</v>
      </c>
      <c r="D743" s="13" t="s">
        <v>29</v>
      </c>
      <c r="E743" s="19" t="s">
        <v>20</v>
      </c>
      <c r="F743" s="60">
        <v>2254</v>
      </c>
      <c r="G743" s="32">
        <v>10438.540000000001</v>
      </c>
      <c r="H743" s="208">
        <v>42397</v>
      </c>
      <c r="I743" s="90">
        <v>0</v>
      </c>
      <c r="J743" s="90">
        <f t="shared" si="22"/>
        <v>10438.540000000001</v>
      </c>
      <c r="K743" s="90" t="str">
        <f t="shared" si="21"/>
        <v>ATRASADO</v>
      </c>
    </row>
    <row r="744" spans="2:11">
      <c r="B744" s="10">
        <v>42397</v>
      </c>
      <c r="C744" s="16">
        <v>1500002880</v>
      </c>
      <c r="D744" s="13" t="s">
        <v>29</v>
      </c>
      <c r="E744" s="19" t="s">
        <v>20</v>
      </c>
      <c r="F744" s="60">
        <v>2254</v>
      </c>
      <c r="G744" s="32">
        <v>20311.38</v>
      </c>
      <c r="H744" s="208">
        <v>42397</v>
      </c>
      <c r="I744" s="90">
        <v>0</v>
      </c>
      <c r="J744" s="90">
        <f t="shared" si="22"/>
        <v>20311.38</v>
      </c>
      <c r="K744" s="90" t="str">
        <f t="shared" si="21"/>
        <v>ATRASADO</v>
      </c>
    </row>
    <row r="745" spans="2:11">
      <c r="B745" s="10">
        <v>42101</v>
      </c>
      <c r="C745" s="16">
        <v>1500002924</v>
      </c>
      <c r="D745" s="13" t="s">
        <v>29</v>
      </c>
      <c r="E745" s="19" t="s">
        <v>20</v>
      </c>
      <c r="F745" s="60">
        <v>2254</v>
      </c>
      <c r="G745" s="32">
        <v>30024.77</v>
      </c>
      <c r="H745" s="208">
        <v>42101</v>
      </c>
      <c r="I745" s="90">
        <v>0</v>
      </c>
      <c r="J745" s="90">
        <f t="shared" si="22"/>
        <v>30024.77</v>
      </c>
      <c r="K745" s="90" t="str">
        <f t="shared" si="21"/>
        <v>ATRASADO</v>
      </c>
    </row>
    <row r="746" spans="2:11">
      <c r="B746" s="10" t="s">
        <v>898</v>
      </c>
      <c r="C746" s="16" t="s">
        <v>929</v>
      </c>
      <c r="D746" s="13" t="s">
        <v>29</v>
      </c>
      <c r="E746" s="19" t="s">
        <v>923</v>
      </c>
      <c r="F746" s="60">
        <v>2254</v>
      </c>
      <c r="G746" s="32">
        <v>3359997.35</v>
      </c>
      <c r="H746" s="208" t="s">
        <v>898</v>
      </c>
      <c r="I746" s="90">
        <v>0</v>
      </c>
      <c r="J746" s="90">
        <f t="shared" si="22"/>
        <v>3359997.35</v>
      </c>
      <c r="K746" s="90" t="str">
        <f t="shared" si="21"/>
        <v>ATRASADO</v>
      </c>
    </row>
    <row r="747" spans="2:11">
      <c r="B747" s="10"/>
      <c r="C747" s="17"/>
      <c r="D747" s="13"/>
      <c r="E747" s="19"/>
      <c r="F747" s="60"/>
      <c r="G747" s="32"/>
      <c r="H747" s="208"/>
      <c r="I747" s="90"/>
      <c r="J747" s="90" t="str">
        <f t="shared" si="22"/>
        <v/>
      </c>
      <c r="K747" s="90"/>
    </row>
    <row r="748" spans="2:11">
      <c r="B748" s="10">
        <v>44354</v>
      </c>
      <c r="C748" s="16" t="s">
        <v>906</v>
      </c>
      <c r="D748" s="13" t="s">
        <v>1508</v>
      </c>
      <c r="E748" s="19" t="s">
        <v>962</v>
      </c>
      <c r="F748" s="60">
        <v>2332</v>
      </c>
      <c r="G748" s="32">
        <v>76405</v>
      </c>
      <c r="H748" s="208">
        <v>44354</v>
      </c>
      <c r="I748" s="90">
        <v>0</v>
      </c>
      <c r="J748" s="90">
        <f t="shared" si="22"/>
        <v>76405</v>
      </c>
      <c r="K748" s="90" t="str">
        <f t="shared" ref="K748:K810" si="23">IF(J748&gt;0,"ATRASADO","")</f>
        <v>ATRASADO</v>
      </c>
    </row>
    <row r="749" spans="2:11">
      <c r="B749" s="10"/>
      <c r="C749" s="17"/>
      <c r="D749" s="13"/>
      <c r="E749" s="19"/>
      <c r="F749" s="60"/>
      <c r="G749" s="32"/>
      <c r="H749" s="208"/>
      <c r="I749" s="90"/>
      <c r="J749" s="90" t="str">
        <f t="shared" si="22"/>
        <v/>
      </c>
      <c r="K749" s="90"/>
    </row>
    <row r="750" spans="2:11">
      <c r="B750" s="10">
        <v>41549</v>
      </c>
      <c r="C750" s="16">
        <v>100000481</v>
      </c>
      <c r="D750" s="13" t="s">
        <v>167</v>
      </c>
      <c r="E750" s="19" t="s">
        <v>168</v>
      </c>
      <c r="F750" s="60">
        <v>2253</v>
      </c>
      <c r="G750" s="32">
        <v>52000</v>
      </c>
      <c r="H750" s="208">
        <v>41549</v>
      </c>
      <c r="I750" s="90">
        <v>0</v>
      </c>
      <c r="J750" s="90">
        <f t="shared" si="22"/>
        <v>52000</v>
      </c>
      <c r="K750" s="90" t="str">
        <f t="shared" si="23"/>
        <v>ATRASADO</v>
      </c>
    </row>
    <row r="751" spans="2:11">
      <c r="B751" s="10"/>
      <c r="C751" s="16"/>
      <c r="D751" s="68"/>
      <c r="E751" s="19"/>
      <c r="F751" s="60"/>
      <c r="G751" s="32"/>
      <c r="H751" s="208"/>
      <c r="I751" s="90"/>
      <c r="J751" s="90" t="str">
        <f t="shared" si="22"/>
        <v/>
      </c>
      <c r="K751" s="90"/>
    </row>
    <row r="752" spans="2:11">
      <c r="B752" s="10">
        <v>44132</v>
      </c>
      <c r="C752" s="16" t="s">
        <v>881</v>
      </c>
      <c r="D752" s="13" t="s">
        <v>880</v>
      </c>
      <c r="E752" s="19" t="s">
        <v>570</v>
      </c>
      <c r="F752" s="60">
        <v>2311</v>
      </c>
      <c r="G752" s="90">
        <v>237414.39999999999</v>
      </c>
      <c r="H752" s="208">
        <v>44132</v>
      </c>
      <c r="I752" s="90">
        <v>0</v>
      </c>
      <c r="J752" s="90">
        <f t="shared" si="22"/>
        <v>237414.39999999999</v>
      </c>
      <c r="K752" s="90" t="str">
        <f t="shared" si="23"/>
        <v>ATRASADO</v>
      </c>
    </row>
    <row r="753" spans="2:11">
      <c r="B753" s="10">
        <v>44166</v>
      </c>
      <c r="C753" s="16" t="s">
        <v>882</v>
      </c>
      <c r="D753" s="13" t="s">
        <v>880</v>
      </c>
      <c r="E753" s="19" t="s">
        <v>570</v>
      </c>
      <c r="F753" s="60">
        <v>2311</v>
      </c>
      <c r="G753" s="90">
        <v>300787.20000000001</v>
      </c>
      <c r="H753" s="208">
        <v>44166</v>
      </c>
      <c r="I753" s="90">
        <v>0</v>
      </c>
      <c r="J753" s="90">
        <f t="shared" si="22"/>
        <v>300787.20000000001</v>
      </c>
      <c r="K753" s="90" t="str">
        <f t="shared" si="23"/>
        <v>ATRASADO</v>
      </c>
    </row>
    <row r="754" spans="2:11">
      <c r="B754" s="10">
        <v>44166</v>
      </c>
      <c r="C754" s="16" t="s">
        <v>883</v>
      </c>
      <c r="D754" s="13" t="s">
        <v>880</v>
      </c>
      <c r="E754" s="19" t="s">
        <v>570</v>
      </c>
      <c r="F754" s="60">
        <v>2311</v>
      </c>
      <c r="G754" s="90">
        <v>103040</v>
      </c>
      <c r="H754" s="208">
        <v>44166</v>
      </c>
      <c r="I754" s="90">
        <v>0</v>
      </c>
      <c r="J754" s="90">
        <f t="shared" si="22"/>
        <v>103040</v>
      </c>
      <c r="K754" s="90" t="str">
        <f t="shared" si="23"/>
        <v>ATRASADO</v>
      </c>
    </row>
    <row r="755" spans="2:11">
      <c r="B755" s="10">
        <v>44198</v>
      </c>
      <c r="C755" s="16" t="s">
        <v>885</v>
      </c>
      <c r="D755" s="13" t="s">
        <v>880</v>
      </c>
      <c r="E755" s="19" t="s">
        <v>570</v>
      </c>
      <c r="F755" s="60">
        <v>2311</v>
      </c>
      <c r="G755" s="90">
        <v>222182.39999999999</v>
      </c>
      <c r="H755" s="208">
        <v>44198</v>
      </c>
      <c r="I755" s="90">
        <v>0</v>
      </c>
      <c r="J755" s="90">
        <f t="shared" si="22"/>
        <v>222182.39999999999</v>
      </c>
      <c r="K755" s="90" t="str">
        <f t="shared" si="23"/>
        <v>ATRASADO</v>
      </c>
    </row>
    <row r="756" spans="2:11">
      <c r="B756" s="10">
        <v>44198</v>
      </c>
      <c r="C756" s="16" t="s">
        <v>886</v>
      </c>
      <c r="D756" s="13" t="s">
        <v>880</v>
      </c>
      <c r="E756" s="19" t="s">
        <v>570</v>
      </c>
      <c r="F756" s="60">
        <v>2311</v>
      </c>
      <c r="G756" s="90">
        <v>107059.2</v>
      </c>
      <c r="H756" s="208">
        <v>44198</v>
      </c>
      <c r="I756" s="90">
        <v>0</v>
      </c>
      <c r="J756" s="90">
        <f t="shared" si="22"/>
        <v>107059.2</v>
      </c>
      <c r="K756" s="90" t="str">
        <f t="shared" si="23"/>
        <v>ATRASADO</v>
      </c>
    </row>
    <row r="757" spans="2:11">
      <c r="B757" s="10">
        <v>44198</v>
      </c>
      <c r="C757" s="16" t="s">
        <v>884</v>
      </c>
      <c r="D757" s="13" t="s">
        <v>880</v>
      </c>
      <c r="E757" s="19" t="s">
        <v>570</v>
      </c>
      <c r="F757" s="60">
        <v>2311</v>
      </c>
      <c r="G757" s="90">
        <v>128000</v>
      </c>
      <c r="H757" s="208">
        <v>44198</v>
      </c>
      <c r="I757" s="90">
        <v>0</v>
      </c>
      <c r="J757" s="90">
        <f t="shared" si="22"/>
        <v>128000</v>
      </c>
      <c r="K757" s="90" t="str">
        <f t="shared" si="23"/>
        <v>ATRASADO</v>
      </c>
    </row>
    <row r="758" spans="2:11">
      <c r="B758" s="10">
        <v>44228</v>
      </c>
      <c r="C758" s="16" t="s">
        <v>888</v>
      </c>
      <c r="D758" s="13" t="s">
        <v>880</v>
      </c>
      <c r="E758" s="19" t="s">
        <v>570</v>
      </c>
      <c r="F758" s="60">
        <v>2311</v>
      </c>
      <c r="G758" s="90">
        <v>192000</v>
      </c>
      <c r="H758" s="208">
        <v>44228</v>
      </c>
      <c r="I758" s="90">
        <v>0</v>
      </c>
      <c r="J758" s="90">
        <f t="shared" si="22"/>
        <v>192000</v>
      </c>
      <c r="K758" s="90" t="str">
        <f t="shared" si="23"/>
        <v>ATRASADO</v>
      </c>
    </row>
    <row r="759" spans="2:11">
      <c r="B759" s="10">
        <v>44228</v>
      </c>
      <c r="C759" s="16" t="s">
        <v>593</v>
      </c>
      <c r="D759" s="13" t="s">
        <v>880</v>
      </c>
      <c r="E759" s="19" t="s">
        <v>570</v>
      </c>
      <c r="F759" s="60">
        <v>2311</v>
      </c>
      <c r="G759" s="90">
        <v>204800</v>
      </c>
      <c r="H759" s="208">
        <v>44228</v>
      </c>
      <c r="I759" s="90">
        <v>0</v>
      </c>
      <c r="J759" s="90">
        <f t="shared" si="22"/>
        <v>204800</v>
      </c>
      <c r="K759" s="90" t="str">
        <f t="shared" si="23"/>
        <v>ATRASADO</v>
      </c>
    </row>
    <row r="760" spans="2:11">
      <c r="B760" s="10">
        <v>44228</v>
      </c>
      <c r="C760" s="16" t="s">
        <v>889</v>
      </c>
      <c r="D760" s="13" t="s">
        <v>880</v>
      </c>
      <c r="E760" s="19" t="s">
        <v>570</v>
      </c>
      <c r="F760" s="60">
        <v>2311</v>
      </c>
      <c r="G760" s="90">
        <v>192000</v>
      </c>
      <c r="H760" s="208">
        <v>44228</v>
      </c>
      <c r="I760" s="90">
        <v>0</v>
      </c>
      <c r="J760" s="90">
        <f t="shared" si="22"/>
        <v>192000</v>
      </c>
      <c r="K760" s="90" t="str">
        <f t="shared" si="23"/>
        <v>ATRASADO</v>
      </c>
    </row>
    <row r="761" spans="2:11">
      <c r="B761" s="10">
        <v>44239</v>
      </c>
      <c r="C761" s="16" t="s">
        <v>896</v>
      </c>
      <c r="D761" s="13" t="s">
        <v>880</v>
      </c>
      <c r="E761" s="19" t="s">
        <v>570</v>
      </c>
      <c r="F761" s="60">
        <v>2311</v>
      </c>
      <c r="G761" s="90">
        <v>170880</v>
      </c>
      <c r="H761" s="208">
        <v>44239</v>
      </c>
      <c r="I761" s="90">
        <v>0</v>
      </c>
      <c r="J761" s="90">
        <f t="shared" si="22"/>
        <v>170880</v>
      </c>
      <c r="K761" s="90" t="str">
        <f t="shared" si="23"/>
        <v>ATRASADO</v>
      </c>
    </row>
    <row r="762" spans="2:11">
      <c r="B762" s="10" t="s">
        <v>907</v>
      </c>
      <c r="C762" s="16" t="s">
        <v>633</v>
      </c>
      <c r="D762" s="13" t="s">
        <v>880</v>
      </c>
      <c r="E762" s="19" t="s">
        <v>570</v>
      </c>
      <c r="F762" s="60">
        <v>2311</v>
      </c>
      <c r="G762" s="90">
        <v>140800</v>
      </c>
      <c r="H762" s="208" t="s">
        <v>907</v>
      </c>
      <c r="I762" s="90">
        <v>0</v>
      </c>
      <c r="J762" s="90">
        <f t="shared" si="22"/>
        <v>140800</v>
      </c>
      <c r="K762" s="90" t="str">
        <f t="shared" si="23"/>
        <v>ATRASADO</v>
      </c>
    </row>
    <row r="763" spans="2:11">
      <c r="B763" s="10">
        <v>44259</v>
      </c>
      <c r="C763" s="16" t="s">
        <v>903</v>
      </c>
      <c r="D763" s="13" t="s">
        <v>880</v>
      </c>
      <c r="E763" s="19" t="s">
        <v>570</v>
      </c>
      <c r="F763" s="60">
        <v>2311</v>
      </c>
      <c r="G763" s="90">
        <v>144640</v>
      </c>
      <c r="H763" s="208">
        <v>44259</v>
      </c>
      <c r="I763" s="90">
        <v>0</v>
      </c>
      <c r="J763" s="90">
        <f t="shared" si="22"/>
        <v>144640</v>
      </c>
      <c r="K763" s="90" t="str">
        <f t="shared" si="23"/>
        <v>ATRASADO</v>
      </c>
    </row>
    <row r="764" spans="2:11">
      <c r="B764" s="10">
        <v>44264</v>
      </c>
      <c r="C764" s="16" t="s">
        <v>904</v>
      </c>
      <c r="D764" s="13" t="s">
        <v>880</v>
      </c>
      <c r="E764" s="19" t="s">
        <v>570</v>
      </c>
      <c r="F764" s="60">
        <v>2311</v>
      </c>
      <c r="G764" s="90">
        <v>153600</v>
      </c>
      <c r="H764" s="208">
        <v>44264</v>
      </c>
      <c r="I764" s="90">
        <v>0</v>
      </c>
      <c r="J764" s="90">
        <f t="shared" si="22"/>
        <v>153600</v>
      </c>
      <c r="K764" s="90" t="str">
        <f t="shared" si="23"/>
        <v>ATRASADO</v>
      </c>
    </row>
    <row r="765" spans="2:11">
      <c r="B765" s="10" t="s">
        <v>894</v>
      </c>
      <c r="C765" s="16" t="s">
        <v>905</v>
      </c>
      <c r="D765" s="13" t="s">
        <v>880</v>
      </c>
      <c r="E765" s="19" t="s">
        <v>570</v>
      </c>
      <c r="F765" s="60">
        <v>2311</v>
      </c>
      <c r="G765" s="90">
        <v>199040</v>
      </c>
      <c r="H765" s="208" t="s">
        <v>894</v>
      </c>
      <c r="I765" s="90">
        <v>0</v>
      </c>
      <c r="J765" s="90">
        <f t="shared" si="22"/>
        <v>199040</v>
      </c>
      <c r="K765" s="90" t="str">
        <f t="shared" si="23"/>
        <v>ATRASADO</v>
      </c>
    </row>
    <row r="766" spans="2:11">
      <c r="B766" s="10" t="s">
        <v>908</v>
      </c>
      <c r="C766" s="16" t="s">
        <v>906</v>
      </c>
      <c r="D766" s="13" t="s">
        <v>880</v>
      </c>
      <c r="E766" s="19" t="s">
        <v>570</v>
      </c>
      <c r="F766" s="60">
        <v>2311</v>
      </c>
      <c r="G766" s="90">
        <v>139904</v>
      </c>
      <c r="H766" s="208" t="s">
        <v>908</v>
      </c>
      <c r="I766" s="90">
        <v>0</v>
      </c>
      <c r="J766" s="90">
        <f t="shared" si="22"/>
        <v>139904</v>
      </c>
      <c r="K766" s="90" t="str">
        <f t="shared" si="23"/>
        <v>ATRASADO</v>
      </c>
    </row>
    <row r="767" spans="2:11">
      <c r="B767" s="10">
        <v>44201</v>
      </c>
      <c r="C767" s="16" t="s">
        <v>930</v>
      </c>
      <c r="D767" s="13" t="s">
        <v>880</v>
      </c>
      <c r="E767" s="19" t="s">
        <v>570</v>
      </c>
      <c r="F767" s="60">
        <v>2311</v>
      </c>
      <c r="G767" s="90">
        <v>92390.399999999994</v>
      </c>
      <c r="H767" s="208">
        <v>44201</v>
      </c>
      <c r="I767" s="90">
        <v>0</v>
      </c>
      <c r="J767" s="90">
        <f t="shared" si="22"/>
        <v>92390.399999999994</v>
      </c>
      <c r="K767" s="90" t="str">
        <f t="shared" si="23"/>
        <v>ATRASADO</v>
      </c>
    </row>
    <row r="768" spans="2:11">
      <c r="B768" s="10">
        <v>44382</v>
      </c>
      <c r="C768" s="16" t="s">
        <v>939</v>
      </c>
      <c r="D768" s="13" t="s">
        <v>880</v>
      </c>
      <c r="E768" s="19" t="s">
        <v>570</v>
      </c>
      <c r="F768" s="60">
        <v>2311</v>
      </c>
      <c r="G768" s="90">
        <v>192000</v>
      </c>
      <c r="H768" s="208">
        <v>44382</v>
      </c>
      <c r="I768" s="90">
        <v>0</v>
      </c>
      <c r="J768" s="90">
        <f t="shared" si="22"/>
        <v>192000</v>
      </c>
      <c r="K768" s="90" t="str">
        <f t="shared" si="23"/>
        <v>ATRASADO</v>
      </c>
    </row>
    <row r="769" spans="2:11">
      <c r="B769" s="10"/>
      <c r="C769" s="16"/>
      <c r="D769" s="13"/>
      <c r="E769" s="19"/>
      <c r="F769" s="60"/>
      <c r="G769" s="32"/>
      <c r="H769" s="208"/>
      <c r="I769" s="90"/>
      <c r="J769" s="90" t="str">
        <f t="shared" si="22"/>
        <v/>
      </c>
      <c r="K769" s="90"/>
    </row>
    <row r="770" spans="2:11">
      <c r="B770" s="10" t="s">
        <v>1509</v>
      </c>
      <c r="C770" s="16" t="s">
        <v>939</v>
      </c>
      <c r="D770" s="13" t="s">
        <v>890</v>
      </c>
      <c r="E770" s="19" t="s">
        <v>570</v>
      </c>
      <c r="F770" s="60">
        <v>2311</v>
      </c>
      <c r="G770" s="32">
        <v>3499276.5</v>
      </c>
      <c r="H770" s="208" t="s">
        <v>1509</v>
      </c>
      <c r="I770" s="90">
        <v>0</v>
      </c>
      <c r="J770" s="90">
        <f t="shared" si="22"/>
        <v>3499276.5</v>
      </c>
      <c r="K770" s="90" t="str">
        <f t="shared" si="23"/>
        <v>ATRASADO</v>
      </c>
    </row>
    <row r="771" spans="2:11">
      <c r="B771" s="10" t="s">
        <v>1509</v>
      </c>
      <c r="C771" s="16" t="s">
        <v>1510</v>
      </c>
      <c r="D771" s="13" t="s">
        <v>890</v>
      </c>
      <c r="E771" s="19" t="s">
        <v>570</v>
      </c>
      <c r="F771" s="60">
        <v>2311</v>
      </c>
      <c r="G771" s="32">
        <v>570000</v>
      </c>
      <c r="H771" s="208" t="s">
        <v>1509</v>
      </c>
      <c r="I771" s="90">
        <v>0</v>
      </c>
      <c r="J771" s="90">
        <f t="shared" si="22"/>
        <v>570000</v>
      </c>
      <c r="K771" s="90" t="str">
        <f t="shared" si="23"/>
        <v>ATRASADO</v>
      </c>
    </row>
    <row r="772" spans="2:11">
      <c r="B772" s="10"/>
      <c r="C772" s="17"/>
      <c r="D772" s="13"/>
      <c r="E772" s="19"/>
      <c r="F772" s="60"/>
      <c r="G772" s="32"/>
      <c r="H772" s="208"/>
      <c r="I772" s="90"/>
      <c r="J772" s="90" t="str">
        <f t="shared" si="22"/>
        <v/>
      </c>
      <c r="K772" s="90"/>
    </row>
    <row r="773" spans="2:11">
      <c r="B773" s="10">
        <v>44203</v>
      </c>
      <c r="C773" s="17" t="s">
        <v>632</v>
      </c>
      <c r="D773" s="13" t="s">
        <v>969</v>
      </c>
      <c r="E773" s="19" t="s">
        <v>570</v>
      </c>
      <c r="F773" s="60">
        <v>2311</v>
      </c>
      <c r="G773" s="32">
        <v>570000</v>
      </c>
      <c r="H773" s="208">
        <v>44203</v>
      </c>
      <c r="I773" s="90">
        <v>0</v>
      </c>
      <c r="J773" s="90">
        <f t="shared" si="22"/>
        <v>570000</v>
      </c>
      <c r="K773" s="90" t="str">
        <f t="shared" si="23"/>
        <v>ATRASADO</v>
      </c>
    </row>
    <row r="774" spans="2:11">
      <c r="B774" s="10">
        <v>44203</v>
      </c>
      <c r="C774" s="17" t="s">
        <v>1511</v>
      </c>
      <c r="D774" s="13" t="s">
        <v>969</v>
      </c>
      <c r="E774" s="19" t="s">
        <v>570</v>
      </c>
      <c r="F774" s="60">
        <v>2311</v>
      </c>
      <c r="G774" s="32">
        <v>880080</v>
      </c>
      <c r="H774" s="208">
        <v>44203</v>
      </c>
      <c r="I774" s="90">
        <v>0</v>
      </c>
      <c r="J774" s="90">
        <f t="shared" si="22"/>
        <v>880080</v>
      </c>
      <c r="K774" s="90" t="str">
        <f t="shared" si="23"/>
        <v>ATRASADO</v>
      </c>
    </row>
    <row r="775" spans="2:11">
      <c r="B775" s="10">
        <v>44203</v>
      </c>
      <c r="C775" s="17" t="s">
        <v>1512</v>
      </c>
      <c r="D775" s="13" t="s">
        <v>969</v>
      </c>
      <c r="E775" s="19" t="s">
        <v>570</v>
      </c>
      <c r="F775" s="60">
        <v>2311</v>
      </c>
      <c r="G775" s="32">
        <v>855000</v>
      </c>
      <c r="H775" s="208">
        <v>44203</v>
      </c>
      <c r="I775" s="90">
        <v>0</v>
      </c>
      <c r="J775" s="90">
        <f t="shared" si="22"/>
        <v>855000</v>
      </c>
      <c r="K775" s="90" t="str">
        <f t="shared" si="23"/>
        <v>ATRASADO</v>
      </c>
    </row>
    <row r="776" spans="2:11">
      <c r="B776" s="10">
        <v>44203</v>
      </c>
      <c r="C776" s="17" t="s">
        <v>1513</v>
      </c>
      <c r="D776" s="13" t="s">
        <v>969</v>
      </c>
      <c r="E776" s="19" t="s">
        <v>570</v>
      </c>
      <c r="F776" s="60">
        <v>2311</v>
      </c>
      <c r="G776" s="32">
        <v>1140000</v>
      </c>
      <c r="H776" s="208">
        <v>44203</v>
      </c>
      <c r="I776" s="90">
        <v>0</v>
      </c>
      <c r="J776" s="90">
        <f t="shared" si="22"/>
        <v>1140000</v>
      </c>
      <c r="K776" s="90" t="str">
        <f t="shared" si="23"/>
        <v>ATRASADO</v>
      </c>
    </row>
    <row r="777" spans="2:11">
      <c r="B777" s="10">
        <v>44203</v>
      </c>
      <c r="C777" s="17" t="s">
        <v>1514</v>
      </c>
      <c r="D777" s="13" t="s">
        <v>969</v>
      </c>
      <c r="E777" s="19" t="s">
        <v>570</v>
      </c>
      <c r="F777" s="60">
        <v>2311</v>
      </c>
      <c r="G777" s="32">
        <v>1425000</v>
      </c>
      <c r="H777" s="208">
        <v>44203</v>
      </c>
      <c r="I777" s="90">
        <v>0</v>
      </c>
      <c r="J777" s="90">
        <f t="shared" si="22"/>
        <v>1425000</v>
      </c>
      <c r="K777" s="90" t="str">
        <f t="shared" si="23"/>
        <v>ATRASADO</v>
      </c>
    </row>
    <row r="778" spans="2:11">
      <c r="B778" s="10">
        <v>44323</v>
      </c>
      <c r="C778" s="17" t="s">
        <v>1515</v>
      </c>
      <c r="D778" s="13" t="s">
        <v>969</v>
      </c>
      <c r="E778" s="19" t="s">
        <v>570</v>
      </c>
      <c r="F778" s="60">
        <v>2311</v>
      </c>
      <c r="G778" s="32">
        <v>1140000</v>
      </c>
      <c r="H778" s="208">
        <v>44323</v>
      </c>
      <c r="I778" s="90">
        <v>0</v>
      </c>
      <c r="J778" s="90">
        <f t="shared" si="22"/>
        <v>1140000</v>
      </c>
      <c r="K778" s="90" t="str">
        <f t="shared" si="23"/>
        <v>ATRASADO</v>
      </c>
    </row>
    <row r="779" spans="2:11">
      <c r="B779" s="10">
        <v>44415</v>
      </c>
      <c r="C779" s="17" t="s">
        <v>1516</v>
      </c>
      <c r="D779" s="13" t="s">
        <v>969</v>
      </c>
      <c r="E779" s="19" t="s">
        <v>570</v>
      </c>
      <c r="F779" s="60">
        <v>2311</v>
      </c>
      <c r="G779" s="32">
        <v>855000</v>
      </c>
      <c r="H779" s="208">
        <v>44415</v>
      </c>
      <c r="I779" s="90">
        <v>0</v>
      </c>
      <c r="J779" s="90">
        <f t="shared" si="22"/>
        <v>855000</v>
      </c>
      <c r="K779" s="90" t="str">
        <f t="shared" si="23"/>
        <v>ATRASADO</v>
      </c>
    </row>
    <row r="780" spans="2:11">
      <c r="B780" s="10">
        <v>44537</v>
      </c>
      <c r="C780" s="17" t="s">
        <v>1517</v>
      </c>
      <c r="D780" s="13" t="s">
        <v>969</v>
      </c>
      <c r="E780" s="19" t="s">
        <v>570</v>
      </c>
      <c r="F780" s="60">
        <v>2311</v>
      </c>
      <c r="G780" s="32">
        <v>1425000</v>
      </c>
      <c r="H780" s="208">
        <v>44537</v>
      </c>
      <c r="I780" s="90">
        <v>0</v>
      </c>
      <c r="J780" s="90">
        <f t="shared" si="22"/>
        <v>1425000</v>
      </c>
      <c r="K780" s="90" t="str">
        <f t="shared" si="23"/>
        <v>ATRASADO</v>
      </c>
    </row>
    <row r="781" spans="2:11">
      <c r="B781" s="10" t="s">
        <v>1518</v>
      </c>
      <c r="C781" s="17" t="s">
        <v>1475</v>
      </c>
      <c r="D781" s="13" t="s">
        <v>969</v>
      </c>
      <c r="E781" s="19" t="s">
        <v>570</v>
      </c>
      <c r="F781" s="60">
        <v>2311</v>
      </c>
      <c r="G781" s="32">
        <v>1140000</v>
      </c>
      <c r="H781" s="208" t="s">
        <v>1518</v>
      </c>
      <c r="I781" s="90">
        <v>0</v>
      </c>
      <c r="J781" s="90">
        <f t="shared" si="22"/>
        <v>1140000</v>
      </c>
      <c r="K781" s="90" t="str">
        <f t="shared" si="23"/>
        <v>ATRASADO</v>
      </c>
    </row>
    <row r="782" spans="2:11">
      <c r="B782" s="10">
        <v>44203</v>
      </c>
      <c r="C782" s="17" t="s">
        <v>1519</v>
      </c>
      <c r="D782" s="13" t="s">
        <v>969</v>
      </c>
      <c r="E782" s="19" t="s">
        <v>570</v>
      </c>
      <c r="F782" s="60">
        <v>2311</v>
      </c>
      <c r="G782" s="32">
        <v>1425000</v>
      </c>
      <c r="H782" s="208">
        <v>44203</v>
      </c>
      <c r="I782" s="90">
        <v>0</v>
      </c>
      <c r="J782" s="90">
        <f t="shared" si="22"/>
        <v>1425000</v>
      </c>
      <c r="K782" s="90" t="str">
        <f t="shared" si="23"/>
        <v>ATRASADO</v>
      </c>
    </row>
    <row r="783" spans="2:11">
      <c r="B783" s="10">
        <v>44203</v>
      </c>
      <c r="C783" s="17" t="s">
        <v>1520</v>
      </c>
      <c r="D783" s="13" t="s">
        <v>969</v>
      </c>
      <c r="E783" s="19" t="s">
        <v>570</v>
      </c>
      <c r="F783" s="60">
        <v>2311</v>
      </c>
      <c r="G783" s="32">
        <v>1425000</v>
      </c>
      <c r="H783" s="208">
        <v>44203</v>
      </c>
      <c r="I783" s="90">
        <v>0</v>
      </c>
      <c r="J783" s="90">
        <f t="shared" si="22"/>
        <v>1425000</v>
      </c>
      <c r="K783" s="90" t="str">
        <f t="shared" si="23"/>
        <v>ATRASADO</v>
      </c>
    </row>
    <row r="784" spans="2:11">
      <c r="B784" s="10">
        <v>44203</v>
      </c>
      <c r="C784" s="17" t="s">
        <v>1521</v>
      </c>
      <c r="D784" s="13" t="s">
        <v>969</v>
      </c>
      <c r="E784" s="19" t="s">
        <v>570</v>
      </c>
      <c r="F784" s="60">
        <v>2311</v>
      </c>
      <c r="G784" s="32">
        <v>1140000</v>
      </c>
      <c r="H784" s="208">
        <v>44203</v>
      </c>
      <c r="I784" s="90">
        <v>0</v>
      </c>
      <c r="J784" s="90">
        <f t="shared" ref="J784:J847" si="24">IF(G784&gt;0,G784,"")</f>
        <v>1140000</v>
      </c>
      <c r="K784" s="90" t="str">
        <f t="shared" si="23"/>
        <v>ATRASADO</v>
      </c>
    </row>
    <row r="785" spans="2:11">
      <c r="B785" s="10"/>
      <c r="C785" s="17"/>
      <c r="D785" s="13"/>
      <c r="E785" s="19"/>
      <c r="F785" s="60"/>
      <c r="G785" s="32"/>
      <c r="H785" s="208"/>
      <c r="I785" s="90"/>
      <c r="J785" s="90" t="str">
        <f t="shared" si="24"/>
        <v/>
      </c>
      <c r="K785" s="90"/>
    </row>
    <row r="786" spans="2:11">
      <c r="B786" s="10">
        <v>44287</v>
      </c>
      <c r="C786" s="72" t="s">
        <v>902</v>
      </c>
      <c r="D786" s="13" t="s">
        <v>909</v>
      </c>
      <c r="E786" s="19" t="s">
        <v>570</v>
      </c>
      <c r="F786" s="60">
        <v>2311</v>
      </c>
      <c r="G786" s="32">
        <v>93696</v>
      </c>
      <c r="H786" s="208">
        <v>44287</v>
      </c>
      <c r="I786" s="90">
        <v>0</v>
      </c>
      <c r="J786" s="90">
        <f t="shared" si="24"/>
        <v>93696</v>
      </c>
      <c r="K786" s="90" t="str">
        <f t="shared" si="23"/>
        <v>ATRASADO</v>
      </c>
    </row>
    <row r="787" spans="2:11">
      <c r="B787" s="10">
        <v>44201</v>
      </c>
      <c r="C787" s="72" t="s">
        <v>931</v>
      </c>
      <c r="D787" s="13" t="s">
        <v>909</v>
      </c>
      <c r="E787" s="19" t="s">
        <v>570</v>
      </c>
      <c r="F787" s="60">
        <v>2311</v>
      </c>
      <c r="G787" s="32">
        <v>44416</v>
      </c>
      <c r="H787" s="208">
        <v>44201</v>
      </c>
      <c r="I787" s="90">
        <v>0</v>
      </c>
      <c r="J787" s="90">
        <f t="shared" si="24"/>
        <v>44416</v>
      </c>
      <c r="K787" s="90" t="str">
        <f t="shared" si="23"/>
        <v>ATRASADO</v>
      </c>
    </row>
    <row r="788" spans="2:11">
      <c r="B788" s="10">
        <v>44287</v>
      </c>
      <c r="C788" s="72" t="s">
        <v>902</v>
      </c>
      <c r="D788" s="13" t="s">
        <v>909</v>
      </c>
      <c r="E788" s="19" t="s">
        <v>570</v>
      </c>
      <c r="F788" s="60">
        <v>2311</v>
      </c>
      <c r="G788" s="32">
        <v>55680</v>
      </c>
      <c r="H788" s="208">
        <v>44287</v>
      </c>
      <c r="I788" s="90">
        <v>0</v>
      </c>
      <c r="J788" s="90">
        <f t="shared" si="24"/>
        <v>55680</v>
      </c>
      <c r="K788" s="90" t="str">
        <f t="shared" si="23"/>
        <v>ATRASADO</v>
      </c>
    </row>
    <row r="789" spans="2:11">
      <c r="B789" s="10"/>
      <c r="C789" s="17"/>
      <c r="D789" s="13"/>
      <c r="E789" s="19"/>
      <c r="F789" s="60"/>
      <c r="G789" s="32"/>
      <c r="H789" s="208"/>
      <c r="I789" s="90"/>
      <c r="J789" s="90" t="str">
        <f t="shared" si="24"/>
        <v/>
      </c>
      <c r="K789" s="90"/>
    </row>
    <row r="790" spans="2:11">
      <c r="B790" s="10">
        <v>44203</v>
      </c>
      <c r="C790" s="17" t="s">
        <v>970</v>
      </c>
      <c r="D790" s="13" t="s">
        <v>948</v>
      </c>
      <c r="E790" s="19" t="s">
        <v>102</v>
      </c>
      <c r="F790" s="60">
        <v>2221</v>
      </c>
      <c r="G790" s="32">
        <v>35400</v>
      </c>
      <c r="H790" s="208">
        <v>44203</v>
      </c>
      <c r="I790" s="90">
        <v>0</v>
      </c>
      <c r="J790" s="90">
        <f t="shared" si="24"/>
        <v>35400</v>
      </c>
      <c r="K790" s="90" t="str">
        <f t="shared" si="23"/>
        <v>ATRASADO</v>
      </c>
    </row>
    <row r="791" spans="2:11">
      <c r="B791" s="10"/>
      <c r="C791" s="17"/>
      <c r="D791" s="13"/>
      <c r="E791" s="19"/>
      <c r="F791" s="60"/>
      <c r="G791" s="32"/>
      <c r="H791" s="208"/>
      <c r="I791" s="90"/>
      <c r="J791" s="90" t="str">
        <f t="shared" si="24"/>
        <v/>
      </c>
      <c r="K791" s="90"/>
    </row>
    <row r="792" spans="2:11">
      <c r="B792" s="10">
        <v>44505</v>
      </c>
      <c r="C792" s="17" t="s">
        <v>1522</v>
      </c>
      <c r="D792" s="13" t="s">
        <v>1523</v>
      </c>
      <c r="E792" s="19" t="s">
        <v>102</v>
      </c>
      <c r="F792" s="60">
        <v>2221</v>
      </c>
      <c r="G792" s="32">
        <v>35400</v>
      </c>
      <c r="H792" s="208">
        <v>44505</v>
      </c>
      <c r="I792" s="90">
        <v>0</v>
      </c>
      <c r="J792" s="90">
        <f t="shared" si="24"/>
        <v>35400</v>
      </c>
      <c r="K792" s="90" t="str">
        <f t="shared" si="23"/>
        <v>ATRASADO</v>
      </c>
    </row>
    <row r="793" spans="2:11">
      <c r="B793" s="10">
        <v>44505</v>
      </c>
      <c r="C793" s="17" t="s">
        <v>932</v>
      </c>
      <c r="D793" s="13" t="s">
        <v>1523</v>
      </c>
      <c r="E793" s="19" t="s">
        <v>102</v>
      </c>
      <c r="F793" s="60">
        <v>2221</v>
      </c>
      <c r="G793" s="32">
        <v>35400</v>
      </c>
      <c r="H793" s="208">
        <v>44505</v>
      </c>
      <c r="I793" s="90">
        <v>0</v>
      </c>
      <c r="J793" s="90">
        <f t="shared" si="24"/>
        <v>35400</v>
      </c>
      <c r="K793" s="90" t="str">
        <f t="shared" si="23"/>
        <v>ATRASADO</v>
      </c>
    </row>
    <row r="794" spans="2:11">
      <c r="B794" s="10"/>
      <c r="C794" s="17"/>
      <c r="D794" s="13"/>
      <c r="E794" s="19"/>
      <c r="F794" s="60"/>
      <c r="G794" s="32"/>
      <c r="H794" s="208"/>
      <c r="I794" s="90"/>
      <c r="J794" s="90" t="str">
        <f t="shared" si="24"/>
        <v/>
      </c>
      <c r="K794" s="90"/>
    </row>
    <row r="795" spans="2:11" ht="24.75">
      <c r="B795" s="11">
        <v>42004</v>
      </c>
      <c r="C795" s="49" t="s">
        <v>181</v>
      </c>
      <c r="D795" s="13" t="s">
        <v>182</v>
      </c>
      <c r="E795" s="19" t="s">
        <v>183</v>
      </c>
      <c r="F795" s="60">
        <v>2111</v>
      </c>
      <c r="G795" s="32">
        <v>5818614.0499999998</v>
      </c>
      <c r="H795" s="87">
        <v>42004</v>
      </c>
      <c r="I795" s="90">
        <v>0</v>
      </c>
      <c r="J795" s="90">
        <f t="shared" si="24"/>
        <v>5818614.0499999998</v>
      </c>
      <c r="K795" s="90" t="str">
        <f t="shared" si="23"/>
        <v>ATRASADO</v>
      </c>
    </row>
    <row r="796" spans="2:11">
      <c r="B796" s="11">
        <v>42369</v>
      </c>
      <c r="C796" s="49" t="s">
        <v>181</v>
      </c>
      <c r="D796" s="13" t="s">
        <v>182</v>
      </c>
      <c r="E796" s="19" t="s">
        <v>184</v>
      </c>
      <c r="F796" s="60">
        <v>2111</v>
      </c>
      <c r="G796" s="32">
        <v>658976.9</v>
      </c>
      <c r="H796" s="87">
        <v>42369</v>
      </c>
      <c r="I796" s="90">
        <v>0</v>
      </c>
      <c r="J796" s="90">
        <f t="shared" si="24"/>
        <v>658976.9</v>
      </c>
      <c r="K796" s="90" t="str">
        <f t="shared" si="23"/>
        <v>ATRASADO</v>
      </c>
    </row>
    <row r="797" spans="2:11">
      <c r="B797" s="11">
        <v>42735</v>
      </c>
      <c r="C797" s="49" t="s">
        <v>185</v>
      </c>
      <c r="D797" s="13" t="s">
        <v>182</v>
      </c>
      <c r="E797" s="19" t="s">
        <v>186</v>
      </c>
      <c r="F797" s="60">
        <v>2111</v>
      </c>
      <c r="G797" s="32">
        <v>32740</v>
      </c>
      <c r="H797" s="87">
        <v>42735</v>
      </c>
      <c r="I797" s="90">
        <v>0</v>
      </c>
      <c r="J797" s="90">
        <f t="shared" si="24"/>
        <v>32740</v>
      </c>
      <c r="K797" s="90" t="str">
        <f t="shared" si="23"/>
        <v>ATRASADO</v>
      </c>
    </row>
    <row r="798" spans="2:11">
      <c r="B798" s="11">
        <v>43039</v>
      </c>
      <c r="C798" s="49" t="s">
        <v>479</v>
      </c>
      <c r="D798" s="13" t="s">
        <v>182</v>
      </c>
      <c r="E798" s="19" t="s">
        <v>873</v>
      </c>
      <c r="F798" s="60">
        <v>2111</v>
      </c>
      <c r="G798" s="32">
        <v>167330</v>
      </c>
      <c r="H798" s="209">
        <v>43100</v>
      </c>
      <c r="I798" s="90">
        <v>0</v>
      </c>
      <c r="J798" s="90">
        <f t="shared" si="24"/>
        <v>167330</v>
      </c>
      <c r="K798" s="90" t="str">
        <f t="shared" si="23"/>
        <v>ATRASADO</v>
      </c>
    </row>
    <row r="799" spans="2:11">
      <c r="B799" s="11">
        <v>43131</v>
      </c>
      <c r="C799" s="49" t="s">
        <v>571</v>
      </c>
      <c r="D799" s="13" t="s">
        <v>182</v>
      </c>
      <c r="E799" s="19" t="s">
        <v>874</v>
      </c>
      <c r="F799" s="60">
        <v>2111</v>
      </c>
      <c r="G799" s="32">
        <f>1415582.77-124176.44-8787.3</f>
        <v>1282619.03</v>
      </c>
      <c r="H799" s="87">
        <v>43465</v>
      </c>
      <c r="I799" s="90">
        <v>0</v>
      </c>
      <c r="J799" s="90">
        <f t="shared" si="24"/>
        <v>1282619.03</v>
      </c>
      <c r="K799" s="90" t="str">
        <f t="shared" si="23"/>
        <v>ATRASADO</v>
      </c>
    </row>
    <row r="800" spans="2:11">
      <c r="B800" s="11" t="s">
        <v>920</v>
      </c>
      <c r="C800" s="49" t="s">
        <v>936</v>
      </c>
      <c r="D800" s="13" t="s">
        <v>182</v>
      </c>
      <c r="E800" s="19" t="s">
        <v>937</v>
      </c>
      <c r="F800" s="60">
        <v>2111</v>
      </c>
      <c r="G800" s="32">
        <v>8787.2999999999884</v>
      </c>
      <c r="H800" s="87" t="s">
        <v>892</v>
      </c>
      <c r="I800" s="90">
        <v>0</v>
      </c>
      <c r="J800" s="90">
        <f t="shared" si="24"/>
        <v>8787.2999999999884</v>
      </c>
      <c r="K800" s="90" t="str">
        <f t="shared" si="23"/>
        <v>ATRASADO</v>
      </c>
    </row>
    <row r="801" spans="2:11">
      <c r="B801" s="11" t="s">
        <v>942</v>
      </c>
      <c r="C801" s="49" t="s">
        <v>944</v>
      </c>
      <c r="D801" s="13" t="s">
        <v>182</v>
      </c>
      <c r="E801" s="19" t="s">
        <v>945</v>
      </c>
      <c r="F801" s="60">
        <v>2111</v>
      </c>
      <c r="G801" s="32">
        <f>52573.47-13641.95</f>
        <v>38931.520000000004</v>
      </c>
      <c r="H801" s="87" t="s">
        <v>942</v>
      </c>
      <c r="I801" s="90">
        <v>0</v>
      </c>
      <c r="J801" s="90">
        <f t="shared" si="24"/>
        <v>38931.520000000004</v>
      </c>
      <c r="K801" s="90" t="str">
        <f t="shared" si="23"/>
        <v>ATRASADO</v>
      </c>
    </row>
    <row r="802" spans="2:11">
      <c r="B802" s="11" t="s">
        <v>972</v>
      </c>
      <c r="C802" s="49" t="s">
        <v>974</v>
      </c>
      <c r="D802" s="13" t="s">
        <v>182</v>
      </c>
      <c r="E802" s="19" t="s">
        <v>975</v>
      </c>
      <c r="F802" s="60">
        <v>2111</v>
      </c>
      <c r="G802" s="32">
        <f>128016.89+6000</f>
        <v>134016.89000000001</v>
      </c>
      <c r="H802" s="87" t="s">
        <v>972</v>
      </c>
      <c r="I802" s="90">
        <v>0</v>
      </c>
      <c r="J802" s="90">
        <f t="shared" si="24"/>
        <v>134016.89000000001</v>
      </c>
      <c r="K802" s="90" t="str">
        <f t="shared" si="23"/>
        <v>ATRASADO</v>
      </c>
    </row>
    <row r="803" spans="2:11">
      <c r="B803" s="11">
        <v>41137</v>
      </c>
      <c r="C803" s="49" t="s">
        <v>437</v>
      </c>
      <c r="D803" s="13" t="s">
        <v>182</v>
      </c>
      <c r="E803" s="19" t="s">
        <v>436</v>
      </c>
      <c r="F803" s="60">
        <v>2111</v>
      </c>
      <c r="G803" s="32">
        <v>5365894.0599999996</v>
      </c>
      <c r="H803" s="87">
        <v>41137</v>
      </c>
      <c r="I803" s="90">
        <v>0</v>
      </c>
      <c r="J803" s="90">
        <f t="shared" si="24"/>
        <v>5365894.0599999996</v>
      </c>
      <c r="K803" s="90" t="str">
        <f t="shared" si="23"/>
        <v>ATRASADO</v>
      </c>
    </row>
    <row r="804" spans="2:11">
      <c r="B804" s="11"/>
      <c r="C804" s="49"/>
      <c r="D804" s="13"/>
      <c r="E804" s="19"/>
      <c r="F804" s="60"/>
      <c r="G804" s="32"/>
      <c r="H804" s="87"/>
      <c r="I804" s="90"/>
      <c r="J804" s="90" t="str">
        <f t="shared" si="24"/>
        <v/>
      </c>
      <c r="K804" s="90"/>
    </row>
    <row r="805" spans="2:11">
      <c r="B805" s="11" t="s">
        <v>898</v>
      </c>
      <c r="C805" s="49" t="s">
        <v>881</v>
      </c>
      <c r="D805" s="107" t="s">
        <v>918</v>
      </c>
      <c r="E805" s="19" t="s">
        <v>570</v>
      </c>
      <c r="F805" s="60">
        <v>2311</v>
      </c>
      <c r="G805" s="32">
        <v>217800</v>
      </c>
      <c r="H805" s="87" t="s">
        <v>898</v>
      </c>
      <c r="I805" s="90">
        <v>0</v>
      </c>
      <c r="J805" s="90">
        <f t="shared" si="24"/>
        <v>217800</v>
      </c>
      <c r="K805" s="90" t="str">
        <f t="shared" si="23"/>
        <v>ATRASADO</v>
      </c>
    </row>
    <row r="806" spans="2:11">
      <c r="B806" s="11">
        <v>44382</v>
      </c>
      <c r="C806" s="49" t="s">
        <v>882</v>
      </c>
      <c r="D806" s="107" t="s">
        <v>918</v>
      </c>
      <c r="E806" s="19" t="s">
        <v>570</v>
      </c>
      <c r="F806" s="60">
        <v>2311</v>
      </c>
      <c r="G806" s="32">
        <v>105200</v>
      </c>
      <c r="H806" s="87">
        <v>44382</v>
      </c>
      <c r="I806" s="90">
        <v>0</v>
      </c>
      <c r="J806" s="90">
        <f t="shared" si="24"/>
        <v>105200</v>
      </c>
      <c r="K806" s="90" t="str">
        <f t="shared" si="23"/>
        <v>ATRASADO</v>
      </c>
    </row>
    <row r="807" spans="2:11">
      <c r="B807" s="11"/>
      <c r="C807" s="49"/>
      <c r="D807" s="13"/>
      <c r="E807" s="19"/>
      <c r="F807" s="60"/>
      <c r="G807" s="32"/>
      <c r="H807" s="87"/>
      <c r="I807" s="90"/>
      <c r="J807" s="90" t="str">
        <f t="shared" si="24"/>
        <v/>
      </c>
      <c r="K807" s="90"/>
    </row>
    <row r="808" spans="2:11">
      <c r="B808" s="10">
        <v>41340</v>
      </c>
      <c r="C808" s="16">
        <v>1500000004</v>
      </c>
      <c r="D808" s="13" t="s">
        <v>13</v>
      </c>
      <c r="E808" s="19" t="s">
        <v>14</v>
      </c>
      <c r="F808" s="60">
        <v>2311</v>
      </c>
      <c r="G808" s="32">
        <v>42264</v>
      </c>
      <c r="H808" s="208">
        <v>41340</v>
      </c>
      <c r="I808" s="90">
        <v>0</v>
      </c>
      <c r="J808" s="90">
        <f t="shared" si="24"/>
        <v>42264</v>
      </c>
      <c r="K808" s="90" t="str">
        <f t="shared" si="23"/>
        <v>ATRASADO</v>
      </c>
    </row>
    <row r="809" spans="2:11">
      <c r="B809" s="10">
        <v>41341</v>
      </c>
      <c r="C809" s="16">
        <v>1500000005</v>
      </c>
      <c r="D809" s="13" t="s">
        <v>13</v>
      </c>
      <c r="E809" s="19" t="s">
        <v>14</v>
      </c>
      <c r="F809" s="60">
        <v>2311</v>
      </c>
      <c r="G809" s="32">
        <v>41745</v>
      </c>
      <c r="H809" s="208">
        <v>41341</v>
      </c>
      <c r="I809" s="90">
        <v>0</v>
      </c>
      <c r="J809" s="90">
        <f t="shared" si="24"/>
        <v>41745</v>
      </c>
      <c r="K809" s="90" t="str">
        <f t="shared" si="23"/>
        <v>ATRASADO</v>
      </c>
    </row>
    <row r="810" spans="2:11">
      <c r="B810" s="10">
        <v>41341</v>
      </c>
      <c r="C810" s="16">
        <v>1500000006</v>
      </c>
      <c r="D810" s="13" t="s">
        <v>13</v>
      </c>
      <c r="E810" s="19" t="s">
        <v>14</v>
      </c>
      <c r="F810" s="60">
        <v>2311</v>
      </c>
      <c r="G810" s="32">
        <v>39082.550000000003</v>
      </c>
      <c r="H810" s="208">
        <v>41341</v>
      </c>
      <c r="I810" s="90">
        <v>0</v>
      </c>
      <c r="J810" s="90">
        <f t="shared" si="24"/>
        <v>39082.550000000003</v>
      </c>
      <c r="K810" s="90" t="str">
        <f t="shared" si="23"/>
        <v>ATRASADO</v>
      </c>
    </row>
    <row r="811" spans="2:11">
      <c r="B811" s="29"/>
      <c r="C811" s="69"/>
      <c r="D811" s="13"/>
      <c r="E811" s="19"/>
      <c r="F811" s="60"/>
      <c r="G811" s="32"/>
      <c r="H811" s="212"/>
      <c r="I811" s="90"/>
      <c r="J811" s="90" t="str">
        <f t="shared" si="24"/>
        <v/>
      </c>
      <c r="K811" s="90"/>
    </row>
    <row r="812" spans="2:11">
      <c r="B812" s="29">
        <v>44203</v>
      </c>
      <c r="C812" s="49" t="s">
        <v>1489</v>
      </c>
      <c r="D812" s="13" t="s">
        <v>1148</v>
      </c>
      <c r="E812" s="19" t="s">
        <v>102</v>
      </c>
      <c r="F812" s="60">
        <v>2221</v>
      </c>
      <c r="G812" s="32">
        <v>35400</v>
      </c>
      <c r="H812" s="212">
        <v>44203</v>
      </c>
      <c r="I812" s="90">
        <v>0</v>
      </c>
      <c r="J812" s="90">
        <f t="shared" si="24"/>
        <v>35400</v>
      </c>
      <c r="K812" s="90" t="str">
        <f t="shared" ref="K812:K875" si="25">IF(J812&gt;0,"ATRASADO","")</f>
        <v>ATRASADO</v>
      </c>
    </row>
    <row r="813" spans="2:11">
      <c r="B813" s="29">
        <v>44203</v>
      </c>
      <c r="C813" s="49" t="s">
        <v>924</v>
      </c>
      <c r="D813" s="13" t="s">
        <v>1148</v>
      </c>
      <c r="E813" s="19" t="s">
        <v>102</v>
      </c>
      <c r="F813" s="60">
        <v>2221</v>
      </c>
      <c r="G813" s="32">
        <v>35400</v>
      </c>
      <c r="H813" s="212">
        <v>44203</v>
      </c>
      <c r="I813" s="90">
        <v>0</v>
      </c>
      <c r="J813" s="90">
        <f t="shared" si="24"/>
        <v>35400</v>
      </c>
      <c r="K813" s="90" t="str">
        <f t="shared" si="25"/>
        <v>ATRASADO</v>
      </c>
    </row>
    <row r="814" spans="2:11">
      <c r="B814" s="29" t="s">
        <v>1524</v>
      </c>
      <c r="C814" s="49" t="s">
        <v>1456</v>
      </c>
      <c r="D814" s="13" t="s">
        <v>1148</v>
      </c>
      <c r="E814" s="19" t="s">
        <v>102</v>
      </c>
      <c r="F814" s="60">
        <v>2221</v>
      </c>
      <c r="G814" s="32">
        <v>35400</v>
      </c>
      <c r="H814" s="212" t="s">
        <v>1524</v>
      </c>
      <c r="I814" s="90">
        <v>0</v>
      </c>
      <c r="J814" s="90">
        <f t="shared" si="24"/>
        <v>35400</v>
      </c>
      <c r="K814" s="90" t="str">
        <f t="shared" si="25"/>
        <v>ATRASADO</v>
      </c>
    </row>
    <row r="815" spans="2:11">
      <c r="B815" s="29"/>
      <c r="C815" s="69"/>
      <c r="D815" s="13"/>
      <c r="E815" s="19"/>
      <c r="F815" s="60"/>
      <c r="G815" s="32"/>
      <c r="H815" s="212"/>
      <c r="I815" s="90"/>
      <c r="J815" s="90" t="str">
        <f t="shared" si="24"/>
        <v/>
      </c>
      <c r="K815" s="90"/>
    </row>
    <row r="816" spans="2:11">
      <c r="B816" s="23">
        <v>41517</v>
      </c>
      <c r="C816" s="18" t="s">
        <v>33</v>
      </c>
      <c r="D816" s="13" t="s">
        <v>92</v>
      </c>
      <c r="E816" s="19" t="s">
        <v>21</v>
      </c>
      <c r="F816" s="60">
        <v>2251</v>
      </c>
      <c r="G816" s="32">
        <v>25960</v>
      </c>
      <c r="H816" s="208">
        <v>41517</v>
      </c>
      <c r="I816" s="90">
        <v>0</v>
      </c>
      <c r="J816" s="90">
        <f t="shared" si="24"/>
        <v>25960</v>
      </c>
      <c r="K816" s="90" t="str">
        <f t="shared" si="25"/>
        <v>ATRASADO</v>
      </c>
    </row>
    <row r="817" spans="2:11">
      <c r="B817" s="23">
        <v>41547</v>
      </c>
      <c r="C817" s="18" t="s">
        <v>45</v>
      </c>
      <c r="D817" s="13" t="s">
        <v>92</v>
      </c>
      <c r="E817" s="19" t="s">
        <v>21</v>
      </c>
      <c r="F817" s="60">
        <v>2251</v>
      </c>
      <c r="G817" s="32">
        <v>25960</v>
      </c>
      <c r="H817" s="208">
        <v>41547</v>
      </c>
      <c r="I817" s="90">
        <v>0</v>
      </c>
      <c r="J817" s="90">
        <f t="shared" si="24"/>
        <v>25960</v>
      </c>
      <c r="K817" s="90" t="str">
        <f t="shared" si="25"/>
        <v>ATRASADO</v>
      </c>
    </row>
    <row r="818" spans="2:11">
      <c r="B818" s="23">
        <v>41577</v>
      </c>
      <c r="C818" s="18" t="s">
        <v>46</v>
      </c>
      <c r="D818" s="13" t="s">
        <v>92</v>
      </c>
      <c r="E818" s="19" t="s">
        <v>21</v>
      </c>
      <c r="F818" s="60">
        <v>2251</v>
      </c>
      <c r="G818" s="32">
        <v>25960</v>
      </c>
      <c r="H818" s="208">
        <v>41577</v>
      </c>
      <c r="I818" s="90">
        <v>0</v>
      </c>
      <c r="J818" s="90">
        <f t="shared" si="24"/>
        <v>25960</v>
      </c>
      <c r="K818" s="90" t="str">
        <f t="shared" si="25"/>
        <v>ATRASADO</v>
      </c>
    </row>
    <row r="819" spans="2:11">
      <c r="B819" s="23">
        <v>41608</v>
      </c>
      <c r="C819" s="18" t="s">
        <v>49</v>
      </c>
      <c r="D819" s="13" t="s">
        <v>92</v>
      </c>
      <c r="E819" s="19" t="s">
        <v>21</v>
      </c>
      <c r="F819" s="60">
        <v>2251</v>
      </c>
      <c r="G819" s="32">
        <v>25960</v>
      </c>
      <c r="H819" s="208">
        <v>41608</v>
      </c>
      <c r="I819" s="90">
        <v>0</v>
      </c>
      <c r="J819" s="90">
        <f t="shared" si="24"/>
        <v>25960</v>
      </c>
      <c r="K819" s="90" t="str">
        <f t="shared" si="25"/>
        <v>ATRASADO</v>
      </c>
    </row>
    <row r="820" spans="2:11">
      <c r="B820" s="23">
        <v>41638</v>
      </c>
      <c r="C820" s="18" t="s">
        <v>50</v>
      </c>
      <c r="D820" s="13" t="s">
        <v>92</v>
      </c>
      <c r="E820" s="19" t="s">
        <v>21</v>
      </c>
      <c r="F820" s="60">
        <v>2251</v>
      </c>
      <c r="G820" s="32">
        <v>25960</v>
      </c>
      <c r="H820" s="208">
        <v>41638</v>
      </c>
      <c r="I820" s="90">
        <v>0</v>
      </c>
      <c r="J820" s="90">
        <f t="shared" si="24"/>
        <v>25960</v>
      </c>
      <c r="K820" s="90" t="str">
        <f t="shared" si="25"/>
        <v>ATRASADO</v>
      </c>
    </row>
    <row r="821" spans="2:11">
      <c r="B821" s="10">
        <v>41670</v>
      </c>
      <c r="C821" s="18" t="s">
        <v>51</v>
      </c>
      <c r="D821" s="13" t="s">
        <v>92</v>
      </c>
      <c r="E821" s="19" t="s">
        <v>21</v>
      </c>
      <c r="F821" s="60">
        <v>2251</v>
      </c>
      <c r="G821" s="32">
        <v>25960</v>
      </c>
      <c r="H821" s="208">
        <v>41670</v>
      </c>
      <c r="I821" s="90">
        <v>0</v>
      </c>
      <c r="J821" s="90">
        <f t="shared" si="24"/>
        <v>25960</v>
      </c>
      <c r="K821" s="90" t="str">
        <f t="shared" si="25"/>
        <v>ATRASADO</v>
      </c>
    </row>
    <row r="822" spans="2:11">
      <c r="B822" s="10">
        <v>41698</v>
      </c>
      <c r="C822" s="18" t="s">
        <v>52</v>
      </c>
      <c r="D822" s="13" t="s">
        <v>92</v>
      </c>
      <c r="E822" s="19" t="s">
        <v>21</v>
      </c>
      <c r="F822" s="60">
        <v>2251</v>
      </c>
      <c r="G822" s="32">
        <v>25960</v>
      </c>
      <c r="H822" s="208">
        <v>41698</v>
      </c>
      <c r="I822" s="90">
        <v>0</v>
      </c>
      <c r="J822" s="90">
        <f t="shared" si="24"/>
        <v>25960</v>
      </c>
      <c r="K822" s="90" t="str">
        <f t="shared" si="25"/>
        <v>ATRASADO</v>
      </c>
    </row>
    <row r="823" spans="2:11">
      <c r="B823" s="23">
        <v>41729</v>
      </c>
      <c r="C823" s="18" t="s">
        <v>53</v>
      </c>
      <c r="D823" s="13" t="s">
        <v>92</v>
      </c>
      <c r="E823" s="19" t="s">
        <v>21</v>
      </c>
      <c r="F823" s="60">
        <v>2251</v>
      </c>
      <c r="G823" s="32">
        <v>25960</v>
      </c>
      <c r="H823" s="208">
        <v>41729</v>
      </c>
      <c r="I823" s="90">
        <v>0</v>
      </c>
      <c r="J823" s="90">
        <f t="shared" si="24"/>
        <v>25960</v>
      </c>
      <c r="K823" s="90" t="str">
        <f t="shared" si="25"/>
        <v>ATRASADO</v>
      </c>
    </row>
    <row r="824" spans="2:11">
      <c r="B824" s="23">
        <v>41759</v>
      </c>
      <c r="C824" s="18" t="s">
        <v>58</v>
      </c>
      <c r="D824" s="13" t="s">
        <v>92</v>
      </c>
      <c r="E824" s="19" t="s">
        <v>21</v>
      </c>
      <c r="F824" s="60">
        <v>2251</v>
      </c>
      <c r="G824" s="32">
        <v>25960</v>
      </c>
      <c r="H824" s="208">
        <v>41759</v>
      </c>
      <c r="I824" s="90">
        <v>0</v>
      </c>
      <c r="J824" s="90">
        <f t="shared" si="24"/>
        <v>25960</v>
      </c>
      <c r="K824" s="90" t="str">
        <f t="shared" si="25"/>
        <v>ATRASADO</v>
      </c>
    </row>
    <row r="825" spans="2:11">
      <c r="B825" s="23">
        <v>41790</v>
      </c>
      <c r="C825" s="18" t="s">
        <v>59</v>
      </c>
      <c r="D825" s="13" t="s">
        <v>92</v>
      </c>
      <c r="E825" s="19" t="s">
        <v>21</v>
      </c>
      <c r="F825" s="60">
        <v>2251</v>
      </c>
      <c r="G825" s="32">
        <v>25960</v>
      </c>
      <c r="H825" s="208">
        <v>41790</v>
      </c>
      <c r="I825" s="90">
        <v>0</v>
      </c>
      <c r="J825" s="90">
        <f t="shared" si="24"/>
        <v>25960</v>
      </c>
      <c r="K825" s="90" t="str">
        <f t="shared" si="25"/>
        <v>ATRASADO</v>
      </c>
    </row>
    <row r="826" spans="2:11">
      <c r="B826" s="23">
        <v>41820</v>
      </c>
      <c r="C826" s="18" t="s">
        <v>60</v>
      </c>
      <c r="D826" s="13" t="s">
        <v>92</v>
      </c>
      <c r="E826" s="19" t="s">
        <v>21</v>
      </c>
      <c r="F826" s="60">
        <v>2251</v>
      </c>
      <c r="G826" s="32">
        <v>25960</v>
      </c>
      <c r="H826" s="208">
        <v>41820</v>
      </c>
      <c r="I826" s="90">
        <v>0</v>
      </c>
      <c r="J826" s="90">
        <f t="shared" si="24"/>
        <v>25960</v>
      </c>
      <c r="K826" s="90" t="str">
        <f t="shared" si="25"/>
        <v>ATRASADO</v>
      </c>
    </row>
    <row r="827" spans="2:11">
      <c r="B827" s="23">
        <v>41850</v>
      </c>
      <c r="C827" s="18" t="s">
        <v>61</v>
      </c>
      <c r="D827" s="13" t="s">
        <v>92</v>
      </c>
      <c r="E827" s="19" t="s">
        <v>21</v>
      </c>
      <c r="F827" s="60">
        <v>2251</v>
      </c>
      <c r="G827" s="32">
        <v>25960</v>
      </c>
      <c r="H827" s="208">
        <v>41850</v>
      </c>
      <c r="I827" s="90">
        <v>0</v>
      </c>
      <c r="J827" s="90">
        <f t="shared" si="24"/>
        <v>25960</v>
      </c>
      <c r="K827" s="90" t="str">
        <f t="shared" si="25"/>
        <v>ATRASADO</v>
      </c>
    </row>
    <row r="828" spans="2:11">
      <c r="B828" s="23">
        <v>41881</v>
      </c>
      <c r="C828" s="18" t="s">
        <v>62</v>
      </c>
      <c r="D828" s="13" t="s">
        <v>92</v>
      </c>
      <c r="E828" s="19" t="s">
        <v>21</v>
      </c>
      <c r="F828" s="60">
        <v>2251</v>
      </c>
      <c r="G828" s="32">
        <v>25960</v>
      </c>
      <c r="H828" s="208">
        <v>41881</v>
      </c>
      <c r="I828" s="90">
        <v>0</v>
      </c>
      <c r="J828" s="90">
        <f t="shared" si="24"/>
        <v>25960</v>
      </c>
      <c r="K828" s="90" t="str">
        <f t="shared" si="25"/>
        <v>ATRASADO</v>
      </c>
    </row>
    <row r="829" spans="2:11">
      <c r="B829" s="23">
        <v>41912</v>
      </c>
      <c r="C829" s="18" t="s">
        <v>63</v>
      </c>
      <c r="D829" s="13" t="s">
        <v>92</v>
      </c>
      <c r="E829" s="19" t="s">
        <v>21</v>
      </c>
      <c r="F829" s="60">
        <v>2251</v>
      </c>
      <c r="G829" s="32">
        <v>28556</v>
      </c>
      <c r="H829" s="208">
        <v>41912</v>
      </c>
      <c r="I829" s="90">
        <v>0</v>
      </c>
      <c r="J829" s="90">
        <f t="shared" si="24"/>
        <v>28556</v>
      </c>
      <c r="K829" s="90" t="str">
        <f t="shared" si="25"/>
        <v>ATRASADO</v>
      </c>
    </row>
    <row r="830" spans="2:11">
      <c r="B830" s="23">
        <v>41943</v>
      </c>
      <c r="C830" s="18" t="s">
        <v>64</v>
      </c>
      <c r="D830" s="13" t="s">
        <v>92</v>
      </c>
      <c r="E830" s="19" t="s">
        <v>21</v>
      </c>
      <c r="F830" s="60">
        <v>2251</v>
      </c>
      <c r="G830" s="32">
        <v>28556</v>
      </c>
      <c r="H830" s="208">
        <v>41943</v>
      </c>
      <c r="I830" s="90">
        <v>0</v>
      </c>
      <c r="J830" s="90">
        <f t="shared" si="24"/>
        <v>28556</v>
      </c>
      <c r="K830" s="90" t="str">
        <f t="shared" si="25"/>
        <v>ATRASADO</v>
      </c>
    </row>
    <row r="831" spans="2:11">
      <c r="B831" s="23">
        <v>41973</v>
      </c>
      <c r="C831" s="18" t="s">
        <v>65</v>
      </c>
      <c r="D831" s="13" t="s">
        <v>92</v>
      </c>
      <c r="E831" s="19" t="s">
        <v>21</v>
      </c>
      <c r="F831" s="60">
        <v>2251</v>
      </c>
      <c r="G831" s="32">
        <v>28556</v>
      </c>
      <c r="H831" s="208">
        <v>41973</v>
      </c>
      <c r="I831" s="90">
        <v>0</v>
      </c>
      <c r="J831" s="90">
        <f t="shared" si="24"/>
        <v>28556</v>
      </c>
      <c r="K831" s="90" t="str">
        <f t="shared" si="25"/>
        <v>ATRASADO</v>
      </c>
    </row>
    <row r="832" spans="2:11">
      <c r="B832" s="23">
        <v>42004</v>
      </c>
      <c r="C832" s="18" t="s">
        <v>66</v>
      </c>
      <c r="D832" s="13" t="s">
        <v>92</v>
      </c>
      <c r="E832" s="19" t="s">
        <v>21</v>
      </c>
      <c r="F832" s="60">
        <v>2251</v>
      </c>
      <c r="G832" s="32">
        <v>28556</v>
      </c>
      <c r="H832" s="208">
        <v>42004</v>
      </c>
      <c r="I832" s="90">
        <v>0</v>
      </c>
      <c r="J832" s="90">
        <f t="shared" si="24"/>
        <v>28556</v>
      </c>
      <c r="K832" s="90" t="str">
        <f t="shared" si="25"/>
        <v>ATRASADO</v>
      </c>
    </row>
    <row r="833" spans="2:11">
      <c r="B833" s="23">
        <v>42035</v>
      </c>
      <c r="C833" s="21" t="s">
        <v>93</v>
      </c>
      <c r="D833" s="13" t="s">
        <v>92</v>
      </c>
      <c r="E833" s="19" t="s">
        <v>21</v>
      </c>
      <c r="F833" s="60">
        <v>2251</v>
      </c>
      <c r="G833" s="32">
        <v>28556</v>
      </c>
      <c r="H833" s="208">
        <v>42035</v>
      </c>
      <c r="I833" s="90">
        <v>0</v>
      </c>
      <c r="J833" s="90">
        <f t="shared" si="24"/>
        <v>28556</v>
      </c>
      <c r="K833" s="90" t="str">
        <f t="shared" si="25"/>
        <v>ATRASADO</v>
      </c>
    </row>
    <row r="834" spans="2:11">
      <c r="B834" s="23">
        <v>42063</v>
      </c>
      <c r="C834" s="21" t="s">
        <v>94</v>
      </c>
      <c r="D834" s="13" t="s">
        <v>92</v>
      </c>
      <c r="E834" s="19" t="s">
        <v>21</v>
      </c>
      <c r="F834" s="60">
        <v>2251</v>
      </c>
      <c r="G834" s="32">
        <v>28556</v>
      </c>
      <c r="H834" s="208">
        <v>42063</v>
      </c>
      <c r="I834" s="90">
        <v>0</v>
      </c>
      <c r="J834" s="90">
        <f t="shared" si="24"/>
        <v>28556</v>
      </c>
      <c r="K834" s="90" t="str">
        <f t="shared" si="25"/>
        <v>ATRASADO</v>
      </c>
    </row>
    <row r="835" spans="2:11">
      <c r="B835" s="24">
        <v>42082</v>
      </c>
      <c r="C835" s="21" t="s">
        <v>95</v>
      </c>
      <c r="D835" s="13" t="s">
        <v>92</v>
      </c>
      <c r="E835" s="19" t="s">
        <v>21</v>
      </c>
      <c r="F835" s="60">
        <v>2251</v>
      </c>
      <c r="G835" s="32">
        <v>28556</v>
      </c>
      <c r="H835" s="208">
        <v>42082</v>
      </c>
      <c r="I835" s="90">
        <v>0</v>
      </c>
      <c r="J835" s="90">
        <f t="shared" si="24"/>
        <v>28556</v>
      </c>
      <c r="K835" s="90" t="str">
        <f t="shared" si="25"/>
        <v>ATRASADO</v>
      </c>
    </row>
    <row r="836" spans="2:11">
      <c r="B836" s="24">
        <v>42113</v>
      </c>
      <c r="C836" s="21" t="s">
        <v>96</v>
      </c>
      <c r="D836" s="13" t="s">
        <v>92</v>
      </c>
      <c r="E836" s="19" t="s">
        <v>21</v>
      </c>
      <c r="F836" s="60">
        <v>2251</v>
      </c>
      <c r="G836" s="32">
        <v>28556</v>
      </c>
      <c r="H836" s="208">
        <v>42113</v>
      </c>
      <c r="I836" s="90">
        <v>0</v>
      </c>
      <c r="J836" s="90">
        <f t="shared" si="24"/>
        <v>28556</v>
      </c>
      <c r="K836" s="90" t="str">
        <f t="shared" si="25"/>
        <v>ATRASADO</v>
      </c>
    </row>
    <row r="837" spans="2:11">
      <c r="B837" s="24">
        <v>42143</v>
      </c>
      <c r="C837" s="21" t="s">
        <v>97</v>
      </c>
      <c r="D837" s="13" t="s">
        <v>92</v>
      </c>
      <c r="E837" s="19" t="s">
        <v>21</v>
      </c>
      <c r="F837" s="60">
        <v>2251</v>
      </c>
      <c r="G837" s="32">
        <v>28556</v>
      </c>
      <c r="H837" s="208">
        <v>42143</v>
      </c>
      <c r="I837" s="90">
        <v>0</v>
      </c>
      <c r="J837" s="90">
        <f t="shared" si="24"/>
        <v>28556</v>
      </c>
      <c r="K837" s="90" t="str">
        <f t="shared" si="25"/>
        <v>ATRASADO</v>
      </c>
    </row>
    <row r="838" spans="2:11">
      <c r="B838" s="24">
        <v>42174</v>
      </c>
      <c r="C838" s="21" t="s">
        <v>98</v>
      </c>
      <c r="D838" s="13" t="s">
        <v>92</v>
      </c>
      <c r="E838" s="19" t="s">
        <v>21</v>
      </c>
      <c r="F838" s="60">
        <v>2251</v>
      </c>
      <c r="G838" s="32">
        <v>28556</v>
      </c>
      <c r="H838" s="208">
        <v>42174</v>
      </c>
      <c r="I838" s="90">
        <v>0</v>
      </c>
      <c r="J838" s="90">
        <f t="shared" si="24"/>
        <v>28556</v>
      </c>
      <c r="K838" s="90" t="str">
        <f t="shared" si="25"/>
        <v>ATRASADO</v>
      </c>
    </row>
    <row r="839" spans="2:11">
      <c r="B839" s="24">
        <v>42200</v>
      </c>
      <c r="C839" s="21" t="s">
        <v>99</v>
      </c>
      <c r="D839" s="13" t="s">
        <v>92</v>
      </c>
      <c r="E839" s="19" t="s">
        <v>21</v>
      </c>
      <c r="F839" s="60">
        <v>2251</v>
      </c>
      <c r="G839" s="32">
        <v>28556</v>
      </c>
      <c r="H839" s="208">
        <v>42200</v>
      </c>
      <c r="I839" s="90">
        <v>0</v>
      </c>
      <c r="J839" s="90">
        <f t="shared" si="24"/>
        <v>28556</v>
      </c>
      <c r="K839" s="90" t="str">
        <f t="shared" si="25"/>
        <v>ATRASADO</v>
      </c>
    </row>
    <row r="840" spans="2:11">
      <c r="B840" s="24">
        <v>42231</v>
      </c>
      <c r="C840" s="21" t="s">
        <v>100</v>
      </c>
      <c r="D840" s="13" t="s">
        <v>92</v>
      </c>
      <c r="E840" s="19" t="s">
        <v>21</v>
      </c>
      <c r="F840" s="60">
        <v>2251</v>
      </c>
      <c r="G840" s="32">
        <v>28556</v>
      </c>
      <c r="H840" s="208">
        <v>42231</v>
      </c>
      <c r="I840" s="90">
        <v>0</v>
      </c>
      <c r="J840" s="90">
        <f t="shared" si="24"/>
        <v>28556</v>
      </c>
      <c r="K840" s="90" t="str">
        <f t="shared" si="25"/>
        <v>ATRASADO</v>
      </c>
    </row>
    <row r="841" spans="2:11">
      <c r="B841" s="10"/>
      <c r="C841" s="17"/>
      <c r="D841" s="13"/>
      <c r="E841" s="19"/>
      <c r="F841" s="60"/>
      <c r="G841" s="32"/>
      <c r="H841" s="208"/>
      <c r="I841" s="90"/>
      <c r="J841" s="90" t="str">
        <f t="shared" si="24"/>
        <v/>
      </c>
      <c r="K841" s="90"/>
    </row>
    <row r="842" spans="2:11" ht="24.75">
      <c r="B842" s="10">
        <v>42241</v>
      </c>
      <c r="C842" s="49">
        <v>1502430208</v>
      </c>
      <c r="D842" s="13" t="s">
        <v>187</v>
      </c>
      <c r="E842" s="19" t="s">
        <v>102</v>
      </c>
      <c r="F842" s="60">
        <v>2221</v>
      </c>
      <c r="G842" s="32">
        <v>14160</v>
      </c>
      <c r="H842" s="208">
        <v>42241</v>
      </c>
      <c r="I842" s="90">
        <v>0</v>
      </c>
      <c r="J842" s="90">
        <f t="shared" si="24"/>
        <v>14160</v>
      </c>
      <c r="K842" s="90" t="str">
        <f t="shared" si="25"/>
        <v>ATRASADO</v>
      </c>
    </row>
    <row r="843" spans="2:11">
      <c r="B843" s="10"/>
      <c r="C843" s="49"/>
      <c r="D843" s="13"/>
      <c r="E843" s="19"/>
      <c r="F843" s="60"/>
      <c r="G843" s="32"/>
      <c r="H843" s="208"/>
      <c r="I843" s="90"/>
      <c r="J843" s="90" t="str">
        <f t="shared" si="24"/>
        <v/>
      </c>
      <c r="K843" s="90"/>
    </row>
    <row r="844" spans="2:11">
      <c r="B844" s="10">
        <v>44202</v>
      </c>
      <c r="C844" s="49" t="s">
        <v>1525</v>
      </c>
      <c r="D844" s="13" t="s">
        <v>1526</v>
      </c>
      <c r="E844" s="19" t="s">
        <v>102</v>
      </c>
      <c r="F844" s="60">
        <v>2221</v>
      </c>
      <c r="G844" s="32">
        <v>23600</v>
      </c>
      <c r="H844" s="208">
        <v>44202</v>
      </c>
      <c r="I844" s="90">
        <v>0</v>
      </c>
      <c r="J844" s="90">
        <f t="shared" si="24"/>
        <v>23600</v>
      </c>
      <c r="K844" s="90" t="str">
        <f t="shared" si="25"/>
        <v>ATRASADO</v>
      </c>
    </row>
    <row r="845" spans="2:11">
      <c r="B845" s="10">
        <v>44202</v>
      </c>
      <c r="C845" s="49" t="s">
        <v>1527</v>
      </c>
      <c r="D845" s="13" t="s">
        <v>1526</v>
      </c>
      <c r="E845" s="19" t="s">
        <v>102</v>
      </c>
      <c r="F845" s="60">
        <v>2221</v>
      </c>
      <c r="G845" s="32">
        <v>23600</v>
      </c>
      <c r="H845" s="208">
        <v>44202</v>
      </c>
      <c r="I845" s="90">
        <v>0</v>
      </c>
      <c r="J845" s="90">
        <f t="shared" si="24"/>
        <v>23600</v>
      </c>
      <c r="K845" s="90" t="str">
        <f t="shared" si="25"/>
        <v>ATRASADO</v>
      </c>
    </row>
    <row r="846" spans="2:11">
      <c r="B846" s="10" t="s">
        <v>964</v>
      </c>
      <c r="C846" s="49" t="s">
        <v>1528</v>
      </c>
      <c r="D846" s="13" t="s">
        <v>1526</v>
      </c>
      <c r="E846" s="19" t="s">
        <v>102</v>
      </c>
      <c r="F846" s="60">
        <v>2221</v>
      </c>
      <c r="G846" s="32">
        <v>23600</v>
      </c>
      <c r="H846" s="208" t="s">
        <v>964</v>
      </c>
      <c r="I846" s="90">
        <v>0</v>
      </c>
      <c r="J846" s="90">
        <f t="shared" si="24"/>
        <v>23600</v>
      </c>
      <c r="K846" s="90" t="str">
        <f t="shared" si="25"/>
        <v>ATRASADO</v>
      </c>
    </row>
    <row r="847" spans="2:11">
      <c r="B847" s="10"/>
      <c r="C847" s="49"/>
      <c r="D847" s="13"/>
      <c r="E847" s="19"/>
      <c r="F847" s="60"/>
      <c r="G847" s="32"/>
      <c r="H847" s="208"/>
      <c r="I847" s="90"/>
      <c r="J847" s="90" t="str">
        <f t="shared" si="24"/>
        <v/>
      </c>
      <c r="K847" s="90"/>
    </row>
    <row r="848" spans="2:11">
      <c r="B848" s="10">
        <v>44203</v>
      </c>
      <c r="C848" s="49" t="s">
        <v>1529</v>
      </c>
      <c r="D848" s="13" t="s">
        <v>1530</v>
      </c>
      <c r="E848" s="19" t="s">
        <v>102</v>
      </c>
      <c r="F848" s="60">
        <v>2221</v>
      </c>
      <c r="G848" s="32">
        <v>23600</v>
      </c>
      <c r="H848" s="208">
        <v>44203</v>
      </c>
      <c r="I848" s="90">
        <v>0</v>
      </c>
      <c r="J848" s="90">
        <f t="shared" ref="J848:J911" si="26">IF(G848&gt;0,G848,"")</f>
        <v>23600</v>
      </c>
      <c r="K848" s="90" t="str">
        <f t="shared" si="25"/>
        <v>ATRASADO</v>
      </c>
    </row>
    <row r="849" spans="2:11">
      <c r="B849" s="10" t="s">
        <v>1474</v>
      </c>
      <c r="C849" s="49" t="s">
        <v>971</v>
      </c>
      <c r="D849" s="13" t="s">
        <v>1530</v>
      </c>
      <c r="E849" s="19" t="s">
        <v>102</v>
      </c>
      <c r="F849" s="60">
        <v>2221</v>
      </c>
      <c r="G849" s="32">
        <v>23600</v>
      </c>
      <c r="H849" s="208" t="s">
        <v>1474</v>
      </c>
      <c r="I849" s="90">
        <v>0</v>
      </c>
      <c r="J849" s="90">
        <f t="shared" si="26"/>
        <v>23600</v>
      </c>
      <c r="K849" s="90" t="str">
        <f t="shared" si="25"/>
        <v>ATRASADO</v>
      </c>
    </row>
    <row r="850" spans="2:11">
      <c r="B850" s="10"/>
      <c r="C850" s="49"/>
      <c r="D850" s="13"/>
      <c r="E850" s="19"/>
      <c r="F850" s="60"/>
      <c r="G850" s="32"/>
      <c r="H850" s="208"/>
      <c r="I850" s="90"/>
      <c r="J850" s="90" t="str">
        <f t="shared" si="26"/>
        <v/>
      </c>
      <c r="K850" s="90"/>
    </row>
    <row r="851" spans="2:11">
      <c r="B851" s="10">
        <v>44203</v>
      </c>
      <c r="C851" s="49" t="s">
        <v>1531</v>
      </c>
      <c r="D851" s="13" t="s">
        <v>1532</v>
      </c>
      <c r="E851" s="19" t="s">
        <v>102</v>
      </c>
      <c r="F851" s="60">
        <v>2221</v>
      </c>
      <c r="G851" s="32">
        <v>35400</v>
      </c>
      <c r="H851" s="208">
        <v>44203</v>
      </c>
      <c r="I851" s="90">
        <v>0</v>
      </c>
      <c r="J851" s="90">
        <f t="shared" si="26"/>
        <v>35400</v>
      </c>
      <c r="K851" s="90" t="str">
        <f t="shared" si="25"/>
        <v>ATRASADO</v>
      </c>
    </row>
    <row r="852" spans="2:11">
      <c r="B852" s="10">
        <v>44203</v>
      </c>
      <c r="C852" s="49" t="s">
        <v>1533</v>
      </c>
      <c r="D852" s="13" t="s">
        <v>1532</v>
      </c>
      <c r="E852" s="19" t="s">
        <v>102</v>
      </c>
      <c r="F852" s="60">
        <v>2221</v>
      </c>
      <c r="G852" s="32">
        <v>35400</v>
      </c>
      <c r="H852" s="208">
        <v>44203</v>
      </c>
      <c r="I852" s="90">
        <v>0</v>
      </c>
      <c r="J852" s="90">
        <f t="shared" si="26"/>
        <v>35400</v>
      </c>
      <c r="K852" s="90" t="str">
        <f t="shared" si="25"/>
        <v>ATRASADO</v>
      </c>
    </row>
    <row r="853" spans="2:11">
      <c r="B853" s="10">
        <v>44537</v>
      </c>
      <c r="C853" s="49" t="s">
        <v>1534</v>
      </c>
      <c r="D853" s="13" t="s">
        <v>1532</v>
      </c>
      <c r="E853" s="19" t="s">
        <v>102</v>
      </c>
      <c r="F853" s="60">
        <v>2221</v>
      </c>
      <c r="G853" s="32">
        <v>35400</v>
      </c>
      <c r="H853" s="208">
        <v>44537</v>
      </c>
      <c r="I853" s="90">
        <v>0</v>
      </c>
      <c r="J853" s="90">
        <f t="shared" si="26"/>
        <v>35400</v>
      </c>
      <c r="K853" s="90" t="str">
        <f t="shared" si="25"/>
        <v>ATRASADO</v>
      </c>
    </row>
    <row r="854" spans="2:11">
      <c r="B854" s="10"/>
      <c r="C854" s="49"/>
      <c r="D854" s="13"/>
      <c r="E854" s="19"/>
      <c r="F854" s="60"/>
      <c r="G854" s="32"/>
      <c r="H854" s="208"/>
      <c r="I854" s="90"/>
      <c r="J854" s="90" t="str">
        <f t="shared" si="26"/>
        <v/>
      </c>
      <c r="K854" s="90"/>
    </row>
    <row r="855" spans="2:11">
      <c r="B855" s="10">
        <v>44203</v>
      </c>
      <c r="C855" s="17" t="s">
        <v>30</v>
      </c>
      <c r="D855" s="13" t="s">
        <v>31</v>
      </c>
      <c r="E855" s="19" t="s">
        <v>27</v>
      </c>
      <c r="F855" s="60">
        <v>2254</v>
      </c>
      <c r="G855" s="32">
        <v>130000</v>
      </c>
      <c r="H855" s="208">
        <v>41455</v>
      </c>
      <c r="I855" s="90">
        <v>0</v>
      </c>
      <c r="J855" s="90">
        <f t="shared" si="26"/>
        <v>130000</v>
      </c>
      <c r="K855" s="90" t="str">
        <f t="shared" si="25"/>
        <v>ATRASADO</v>
      </c>
    </row>
    <row r="856" spans="2:11">
      <c r="B856" s="10">
        <v>41486</v>
      </c>
      <c r="C856" s="17" t="s">
        <v>32</v>
      </c>
      <c r="D856" s="13" t="s">
        <v>31</v>
      </c>
      <c r="E856" s="19" t="s">
        <v>27</v>
      </c>
      <c r="F856" s="60">
        <v>2254</v>
      </c>
      <c r="G856" s="32">
        <v>130000</v>
      </c>
      <c r="H856" s="208">
        <v>41486</v>
      </c>
      <c r="I856" s="90">
        <v>0</v>
      </c>
      <c r="J856" s="90">
        <f t="shared" si="26"/>
        <v>130000</v>
      </c>
      <c r="K856" s="90" t="str">
        <f t="shared" si="25"/>
        <v>ATRASADO</v>
      </c>
    </row>
    <row r="857" spans="2:11">
      <c r="B857" s="10">
        <v>41517</v>
      </c>
      <c r="C857" s="17" t="s">
        <v>33</v>
      </c>
      <c r="D857" s="13" t="s">
        <v>31</v>
      </c>
      <c r="E857" s="19" t="s">
        <v>27</v>
      </c>
      <c r="F857" s="60">
        <v>2254</v>
      </c>
      <c r="G857" s="32">
        <v>130000</v>
      </c>
      <c r="H857" s="208">
        <v>41517</v>
      </c>
      <c r="I857" s="90">
        <v>0</v>
      </c>
      <c r="J857" s="90">
        <f t="shared" si="26"/>
        <v>130000</v>
      </c>
      <c r="K857" s="90" t="str">
        <f t="shared" si="25"/>
        <v>ATRASADO</v>
      </c>
    </row>
    <row r="858" spans="2:11">
      <c r="B858" s="10">
        <v>41547</v>
      </c>
      <c r="C858" s="17" t="s">
        <v>45</v>
      </c>
      <c r="D858" s="13" t="s">
        <v>31</v>
      </c>
      <c r="E858" s="19" t="s">
        <v>27</v>
      </c>
      <c r="F858" s="60">
        <v>2254</v>
      </c>
      <c r="G858" s="32">
        <v>130000</v>
      </c>
      <c r="H858" s="208">
        <v>41547</v>
      </c>
      <c r="I858" s="90">
        <v>0</v>
      </c>
      <c r="J858" s="90">
        <f t="shared" si="26"/>
        <v>130000</v>
      </c>
      <c r="K858" s="90" t="str">
        <f t="shared" si="25"/>
        <v>ATRASADO</v>
      </c>
    </row>
    <row r="859" spans="2:11">
      <c r="B859" s="10"/>
      <c r="C859" s="17"/>
      <c r="D859" s="13"/>
      <c r="E859" s="19"/>
      <c r="F859" s="60"/>
      <c r="G859" s="32"/>
      <c r="H859" s="208"/>
      <c r="I859" s="90"/>
      <c r="J859" s="90" t="str">
        <f t="shared" si="26"/>
        <v/>
      </c>
      <c r="K859" s="90"/>
    </row>
    <row r="860" spans="2:11">
      <c r="B860" s="10">
        <v>42012</v>
      </c>
      <c r="C860" s="17">
        <v>1500001395</v>
      </c>
      <c r="D860" s="13" t="s">
        <v>34</v>
      </c>
      <c r="E860" s="19" t="s">
        <v>20</v>
      </c>
      <c r="F860" s="60">
        <v>2254</v>
      </c>
      <c r="G860" s="32">
        <v>534600</v>
      </c>
      <c r="H860" s="208">
        <v>42012</v>
      </c>
      <c r="I860" s="90">
        <v>0</v>
      </c>
      <c r="J860" s="90">
        <f t="shared" si="26"/>
        <v>534600</v>
      </c>
      <c r="K860" s="90" t="str">
        <f t="shared" si="25"/>
        <v>ATRASADO</v>
      </c>
    </row>
    <row r="861" spans="2:11">
      <c r="B861" s="10">
        <v>42107</v>
      </c>
      <c r="C861" s="17">
        <v>1500001399</v>
      </c>
      <c r="D861" s="13" t="s">
        <v>34</v>
      </c>
      <c r="E861" s="19" t="s">
        <v>20</v>
      </c>
      <c r="F861" s="60">
        <v>2254</v>
      </c>
      <c r="G861" s="32">
        <v>534600</v>
      </c>
      <c r="H861" s="208">
        <v>42107</v>
      </c>
      <c r="I861" s="90">
        <v>0</v>
      </c>
      <c r="J861" s="90">
        <f t="shared" si="26"/>
        <v>534600</v>
      </c>
      <c r="K861" s="90" t="str">
        <f t="shared" si="25"/>
        <v>ATRASADO</v>
      </c>
    </row>
    <row r="862" spans="2:11">
      <c r="B862" s="10">
        <v>42517</v>
      </c>
      <c r="C862" s="17">
        <v>1500001417</v>
      </c>
      <c r="D862" s="13" t="s">
        <v>34</v>
      </c>
      <c r="E862" s="19" t="s">
        <v>20</v>
      </c>
      <c r="F862" s="60">
        <v>2254</v>
      </c>
      <c r="G862" s="32">
        <v>414030.5</v>
      </c>
      <c r="H862" s="208">
        <v>42517</v>
      </c>
      <c r="I862" s="90">
        <v>0</v>
      </c>
      <c r="J862" s="90">
        <f t="shared" si="26"/>
        <v>414030.5</v>
      </c>
      <c r="K862" s="90" t="str">
        <f t="shared" si="25"/>
        <v>ATRASADO</v>
      </c>
    </row>
    <row r="863" spans="2:11">
      <c r="B863" s="10"/>
      <c r="C863" s="17"/>
      <c r="D863" s="13"/>
      <c r="E863" s="19"/>
      <c r="F863" s="60"/>
      <c r="G863" s="32"/>
      <c r="H863" s="208"/>
      <c r="I863" s="90"/>
      <c r="J863" s="90" t="str">
        <f t="shared" si="26"/>
        <v/>
      </c>
      <c r="K863" s="90"/>
    </row>
    <row r="864" spans="2:11" ht="24.75">
      <c r="B864" s="11">
        <v>42004</v>
      </c>
      <c r="C864" s="49" t="s">
        <v>181</v>
      </c>
      <c r="D864" s="13" t="s">
        <v>188</v>
      </c>
      <c r="E864" s="19" t="s">
        <v>183</v>
      </c>
      <c r="F864" s="60">
        <v>2111</v>
      </c>
      <c r="G864" s="32">
        <v>1156738</v>
      </c>
      <c r="H864" s="87">
        <v>42004</v>
      </c>
      <c r="I864" s="90">
        <v>0</v>
      </c>
      <c r="J864" s="90">
        <f t="shared" si="26"/>
        <v>1156738</v>
      </c>
      <c r="K864" s="90" t="str">
        <f t="shared" si="25"/>
        <v>ATRASADO</v>
      </c>
    </row>
    <row r="865" spans="2:11">
      <c r="B865" s="11">
        <v>42369</v>
      </c>
      <c r="C865" s="49" t="s">
        <v>181</v>
      </c>
      <c r="D865" s="13" t="s">
        <v>188</v>
      </c>
      <c r="E865" s="19" t="s">
        <v>189</v>
      </c>
      <c r="F865" s="60">
        <v>2111</v>
      </c>
      <c r="G865" s="32">
        <f>565925+1175</f>
        <v>567100</v>
      </c>
      <c r="H865" s="87">
        <v>42369</v>
      </c>
      <c r="I865" s="90">
        <v>0</v>
      </c>
      <c r="J865" s="90">
        <f t="shared" si="26"/>
        <v>567100</v>
      </c>
      <c r="K865" s="90" t="str">
        <f t="shared" si="25"/>
        <v>ATRASADO</v>
      </c>
    </row>
    <row r="866" spans="2:11">
      <c r="B866" s="11">
        <v>42400</v>
      </c>
      <c r="C866" s="49" t="s">
        <v>190</v>
      </c>
      <c r="D866" s="13" t="s">
        <v>188</v>
      </c>
      <c r="E866" s="19" t="s">
        <v>470</v>
      </c>
      <c r="F866" s="60">
        <v>2111</v>
      </c>
      <c r="G866" s="32">
        <v>606975</v>
      </c>
      <c r="H866" s="87">
        <v>42400</v>
      </c>
      <c r="I866" s="90">
        <v>0</v>
      </c>
      <c r="J866" s="90">
        <f t="shared" si="26"/>
        <v>606975</v>
      </c>
      <c r="K866" s="90" t="str">
        <f t="shared" si="25"/>
        <v>ATRASADO</v>
      </c>
    </row>
    <row r="867" spans="2:11">
      <c r="B867" s="11">
        <v>42766</v>
      </c>
      <c r="C867" s="49" t="s">
        <v>127</v>
      </c>
      <c r="D867" s="13" t="s">
        <v>188</v>
      </c>
      <c r="E867" s="19" t="s">
        <v>191</v>
      </c>
      <c r="F867" s="60">
        <v>2111</v>
      </c>
      <c r="G867" s="32">
        <v>49825</v>
      </c>
      <c r="H867" s="87">
        <v>42766</v>
      </c>
      <c r="I867" s="90">
        <v>0</v>
      </c>
      <c r="J867" s="90">
        <f t="shared" si="26"/>
        <v>49825</v>
      </c>
      <c r="K867" s="90" t="str">
        <f t="shared" si="25"/>
        <v>ATRASADO</v>
      </c>
    </row>
    <row r="868" spans="2:11">
      <c r="B868" s="11">
        <v>42794</v>
      </c>
      <c r="C868" s="49" t="s">
        <v>128</v>
      </c>
      <c r="D868" s="13" t="s">
        <v>188</v>
      </c>
      <c r="E868" s="19" t="s">
        <v>192</v>
      </c>
      <c r="F868" s="60">
        <v>2111</v>
      </c>
      <c r="G868" s="32">
        <v>49175</v>
      </c>
      <c r="H868" s="87">
        <v>42794</v>
      </c>
      <c r="I868" s="90">
        <v>0</v>
      </c>
      <c r="J868" s="90">
        <f t="shared" si="26"/>
        <v>49175</v>
      </c>
      <c r="K868" s="90" t="str">
        <f t="shared" si="25"/>
        <v>ATRASADO</v>
      </c>
    </row>
    <row r="869" spans="2:11">
      <c r="B869" s="11">
        <v>42825</v>
      </c>
      <c r="C869" s="49" t="s">
        <v>129</v>
      </c>
      <c r="D869" s="13" t="s">
        <v>188</v>
      </c>
      <c r="E869" s="19" t="s">
        <v>193</v>
      </c>
      <c r="F869" s="60">
        <v>2111</v>
      </c>
      <c r="G869" s="32">
        <v>48900</v>
      </c>
      <c r="H869" s="87">
        <v>42825</v>
      </c>
      <c r="I869" s="90">
        <v>0</v>
      </c>
      <c r="J869" s="90">
        <f t="shared" si="26"/>
        <v>48900</v>
      </c>
      <c r="K869" s="90" t="str">
        <f t="shared" si="25"/>
        <v>ATRASADO</v>
      </c>
    </row>
    <row r="870" spans="2:11">
      <c r="B870" s="11">
        <v>42855</v>
      </c>
      <c r="C870" s="49" t="s">
        <v>130</v>
      </c>
      <c r="D870" s="13" t="s">
        <v>188</v>
      </c>
      <c r="E870" s="19" t="s">
        <v>194</v>
      </c>
      <c r="F870" s="60">
        <v>2111</v>
      </c>
      <c r="G870" s="32">
        <v>48600</v>
      </c>
      <c r="H870" s="87">
        <v>42855</v>
      </c>
      <c r="I870" s="90">
        <v>0</v>
      </c>
      <c r="J870" s="90">
        <f t="shared" si="26"/>
        <v>48600</v>
      </c>
      <c r="K870" s="90" t="str">
        <f t="shared" si="25"/>
        <v>ATRASADO</v>
      </c>
    </row>
    <row r="871" spans="2:11">
      <c r="B871" s="11">
        <v>42886</v>
      </c>
      <c r="C871" s="49" t="s">
        <v>131</v>
      </c>
      <c r="D871" s="13" t="s">
        <v>188</v>
      </c>
      <c r="E871" s="19" t="s">
        <v>195</v>
      </c>
      <c r="F871" s="60">
        <v>2111</v>
      </c>
      <c r="G871" s="32">
        <v>49075</v>
      </c>
      <c r="H871" s="87">
        <v>42886</v>
      </c>
      <c r="I871" s="90">
        <v>0</v>
      </c>
      <c r="J871" s="90">
        <f t="shared" si="26"/>
        <v>49075</v>
      </c>
      <c r="K871" s="90" t="str">
        <f t="shared" si="25"/>
        <v>ATRASADO</v>
      </c>
    </row>
    <row r="872" spans="2:11">
      <c r="B872" s="11">
        <v>42916</v>
      </c>
      <c r="C872" s="49" t="s">
        <v>108</v>
      </c>
      <c r="D872" s="13" t="s">
        <v>188</v>
      </c>
      <c r="E872" s="19" t="s">
        <v>196</v>
      </c>
      <c r="F872" s="60">
        <v>2111</v>
      </c>
      <c r="G872" s="32">
        <v>49050</v>
      </c>
      <c r="H872" s="87">
        <v>42916</v>
      </c>
      <c r="I872" s="90">
        <v>0</v>
      </c>
      <c r="J872" s="90">
        <f t="shared" si="26"/>
        <v>49050</v>
      </c>
      <c r="K872" s="90" t="str">
        <f t="shared" si="25"/>
        <v>ATRASADO</v>
      </c>
    </row>
    <row r="873" spans="2:11">
      <c r="B873" s="11">
        <v>42947</v>
      </c>
      <c r="C873" s="49" t="s">
        <v>111</v>
      </c>
      <c r="D873" s="13" t="s">
        <v>188</v>
      </c>
      <c r="E873" s="19" t="s">
        <v>197</v>
      </c>
      <c r="F873" s="60">
        <v>2111</v>
      </c>
      <c r="G873" s="32">
        <v>48950</v>
      </c>
      <c r="H873" s="87">
        <v>42947</v>
      </c>
      <c r="I873" s="90">
        <v>0</v>
      </c>
      <c r="J873" s="90">
        <f t="shared" si="26"/>
        <v>48950</v>
      </c>
      <c r="K873" s="90" t="str">
        <f t="shared" si="25"/>
        <v>ATRASADO</v>
      </c>
    </row>
    <row r="874" spans="2:11">
      <c r="B874" s="11">
        <v>42978</v>
      </c>
      <c r="C874" s="49" t="s">
        <v>112</v>
      </c>
      <c r="D874" s="13" t="s">
        <v>188</v>
      </c>
      <c r="E874" s="19" t="s">
        <v>198</v>
      </c>
      <c r="F874" s="60">
        <v>2111</v>
      </c>
      <c r="G874" s="32">
        <v>48825</v>
      </c>
      <c r="H874" s="87">
        <v>42978</v>
      </c>
      <c r="I874" s="90">
        <v>0</v>
      </c>
      <c r="J874" s="90">
        <f t="shared" si="26"/>
        <v>48825</v>
      </c>
      <c r="K874" s="90" t="str">
        <f t="shared" si="25"/>
        <v>ATRASADO</v>
      </c>
    </row>
    <row r="875" spans="2:11">
      <c r="B875" s="11">
        <v>43008</v>
      </c>
      <c r="C875" s="49" t="s">
        <v>473</v>
      </c>
      <c r="D875" s="13" t="s">
        <v>188</v>
      </c>
      <c r="E875" s="19" t="s">
        <v>474</v>
      </c>
      <c r="F875" s="60">
        <v>2111</v>
      </c>
      <c r="G875" s="32">
        <v>48550</v>
      </c>
      <c r="H875" s="87">
        <v>43008</v>
      </c>
      <c r="I875" s="90">
        <v>0</v>
      </c>
      <c r="J875" s="90">
        <f t="shared" si="26"/>
        <v>48550</v>
      </c>
      <c r="K875" s="90" t="str">
        <f t="shared" si="25"/>
        <v>ATRASADO</v>
      </c>
    </row>
    <row r="876" spans="2:11">
      <c r="B876" s="11">
        <v>43039</v>
      </c>
      <c r="C876" s="49" t="s">
        <v>479</v>
      </c>
      <c r="D876" s="13" t="s">
        <v>188</v>
      </c>
      <c r="E876" s="19" t="s">
        <v>480</v>
      </c>
      <c r="F876" s="60">
        <v>2111</v>
      </c>
      <c r="G876" s="32">
        <v>48350</v>
      </c>
      <c r="H876" s="87">
        <v>43039</v>
      </c>
      <c r="I876" s="90">
        <v>0</v>
      </c>
      <c r="J876" s="90">
        <f t="shared" si="26"/>
        <v>48350</v>
      </c>
      <c r="K876" s="90" t="str">
        <f t="shared" ref="K876:K938" si="27">IF(J876&gt;0,"ATRASADO","")</f>
        <v>ATRASADO</v>
      </c>
    </row>
    <row r="877" spans="2:11">
      <c r="B877" s="11">
        <v>43069</v>
      </c>
      <c r="C877" s="49" t="s">
        <v>484</v>
      </c>
      <c r="D877" s="13" t="s">
        <v>188</v>
      </c>
      <c r="E877" s="19" t="s">
        <v>486</v>
      </c>
      <c r="F877" s="60">
        <v>2111</v>
      </c>
      <c r="G877" s="32">
        <v>48350</v>
      </c>
      <c r="H877" s="87">
        <v>43069</v>
      </c>
      <c r="I877" s="90">
        <v>0</v>
      </c>
      <c r="J877" s="90">
        <f t="shared" si="26"/>
        <v>48350</v>
      </c>
      <c r="K877" s="90" t="str">
        <f t="shared" si="27"/>
        <v>ATRASADO</v>
      </c>
    </row>
    <row r="878" spans="2:11">
      <c r="B878" s="11">
        <v>43100</v>
      </c>
      <c r="C878" s="49" t="s">
        <v>485</v>
      </c>
      <c r="D878" s="13" t="s">
        <v>188</v>
      </c>
      <c r="E878" s="19" t="s">
        <v>487</v>
      </c>
      <c r="F878" s="60">
        <v>2111</v>
      </c>
      <c r="G878" s="32">
        <v>48150</v>
      </c>
      <c r="H878" s="87">
        <v>43100</v>
      </c>
      <c r="I878" s="90">
        <v>0</v>
      </c>
      <c r="J878" s="90">
        <f t="shared" si="26"/>
        <v>48150</v>
      </c>
      <c r="K878" s="90" t="str">
        <f t="shared" si="27"/>
        <v>ATRASADO</v>
      </c>
    </row>
    <row r="879" spans="2:11">
      <c r="B879" s="11">
        <v>43131</v>
      </c>
      <c r="C879" s="49" t="s">
        <v>571</v>
      </c>
      <c r="D879" s="13" t="s">
        <v>188</v>
      </c>
      <c r="E879" s="19" t="s">
        <v>572</v>
      </c>
      <c r="F879" s="60">
        <v>2111</v>
      </c>
      <c r="G879" s="32">
        <v>50600</v>
      </c>
      <c r="H879" s="87">
        <v>43131</v>
      </c>
      <c r="I879" s="90">
        <v>0</v>
      </c>
      <c r="J879" s="90">
        <f t="shared" si="26"/>
        <v>50600</v>
      </c>
      <c r="K879" s="90" t="str">
        <f t="shared" si="27"/>
        <v>ATRASADO</v>
      </c>
    </row>
    <row r="880" spans="2:11">
      <c r="B880" s="11">
        <v>43159</v>
      </c>
      <c r="C880" s="49" t="s">
        <v>574</v>
      </c>
      <c r="D880" s="13" t="s">
        <v>188</v>
      </c>
      <c r="E880" s="19" t="s">
        <v>580</v>
      </c>
      <c r="F880" s="60">
        <v>2111</v>
      </c>
      <c r="G880" s="32">
        <v>50700</v>
      </c>
      <c r="H880" s="87">
        <v>43159</v>
      </c>
      <c r="I880" s="90">
        <v>0</v>
      </c>
      <c r="J880" s="90">
        <f t="shared" si="26"/>
        <v>50700</v>
      </c>
      <c r="K880" s="90" t="str">
        <f t="shared" si="27"/>
        <v>ATRASADO</v>
      </c>
    </row>
    <row r="881" spans="2:11">
      <c r="B881" s="11">
        <v>43190</v>
      </c>
      <c r="C881" s="49" t="s">
        <v>577</v>
      </c>
      <c r="D881" s="13" t="s">
        <v>188</v>
      </c>
      <c r="E881" s="19" t="s">
        <v>581</v>
      </c>
      <c r="F881" s="60">
        <v>2111</v>
      </c>
      <c r="G881" s="32">
        <v>52625</v>
      </c>
      <c r="H881" s="87">
        <v>43190</v>
      </c>
      <c r="I881" s="90">
        <v>0</v>
      </c>
      <c r="J881" s="90">
        <f t="shared" si="26"/>
        <v>52625</v>
      </c>
      <c r="K881" s="90" t="str">
        <f t="shared" si="27"/>
        <v>ATRASADO</v>
      </c>
    </row>
    <row r="882" spans="2:11">
      <c r="B882" s="11">
        <v>43220</v>
      </c>
      <c r="C882" s="49" t="s">
        <v>579</v>
      </c>
      <c r="D882" s="13" t="s">
        <v>188</v>
      </c>
      <c r="E882" s="19" t="s">
        <v>582</v>
      </c>
      <c r="F882" s="60">
        <v>2111</v>
      </c>
      <c r="G882" s="32">
        <v>52975</v>
      </c>
      <c r="H882" s="87">
        <v>43220</v>
      </c>
      <c r="I882" s="90">
        <v>0</v>
      </c>
      <c r="J882" s="90">
        <f t="shared" si="26"/>
        <v>52975</v>
      </c>
      <c r="K882" s="90" t="str">
        <f t="shared" si="27"/>
        <v>ATRASADO</v>
      </c>
    </row>
    <row r="883" spans="2:11">
      <c r="B883" s="11">
        <v>43251</v>
      </c>
      <c r="C883" s="49" t="s">
        <v>587</v>
      </c>
      <c r="D883" s="13" t="s">
        <v>188</v>
      </c>
      <c r="E883" s="19" t="s">
        <v>588</v>
      </c>
      <c r="F883" s="60">
        <v>2111</v>
      </c>
      <c r="G883" s="32">
        <v>52900</v>
      </c>
      <c r="H883" s="87">
        <v>43251</v>
      </c>
      <c r="I883" s="90">
        <v>0</v>
      </c>
      <c r="J883" s="90">
        <f t="shared" si="26"/>
        <v>52900</v>
      </c>
      <c r="K883" s="90" t="str">
        <f t="shared" si="27"/>
        <v>ATRASADO</v>
      </c>
    </row>
    <row r="884" spans="2:11">
      <c r="B884" s="11">
        <v>43281</v>
      </c>
      <c r="C884" s="49" t="s">
        <v>594</v>
      </c>
      <c r="D884" s="13" t="s">
        <v>188</v>
      </c>
      <c r="E884" s="19" t="s">
        <v>596</v>
      </c>
      <c r="F884" s="60">
        <v>2111</v>
      </c>
      <c r="G884" s="32">
        <v>53775</v>
      </c>
      <c r="H884" s="87">
        <v>43281</v>
      </c>
      <c r="I884" s="90">
        <v>0</v>
      </c>
      <c r="J884" s="90">
        <f t="shared" si="26"/>
        <v>53775</v>
      </c>
      <c r="K884" s="90" t="str">
        <f t="shared" si="27"/>
        <v>ATRASADO</v>
      </c>
    </row>
    <row r="885" spans="2:11">
      <c r="B885" s="11">
        <v>43311</v>
      </c>
      <c r="C885" s="49" t="s">
        <v>602</v>
      </c>
      <c r="D885" s="13" t="s">
        <v>188</v>
      </c>
      <c r="E885" s="19" t="s">
        <v>603</v>
      </c>
      <c r="F885" s="60">
        <v>2111</v>
      </c>
      <c r="G885" s="32">
        <v>53700</v>
      </c>
      <c r="H885" s="87">
        <v>43311</v>
      </c>
      <c r="I885" s="90">
        <v>0</v>
      </c>
      <c r="J885" s="90">
        <f t="shared" si="26"/>
        <v>53700</v>
      </c>
      <c r="K885" s="90" t="str">
        <f t="shared" si="27"/>
        <v>ATRASADO</v>
      </c>
    </row>
    <row r="886" spans="2:11">
      <c r="B886" s="11">
        <v>43343</v>
      </c>
      <c r="C886" s="49" t="s">
        <v>618</v>
      </c>
      <c r="D886" s="13" t="s">
        <v>188</v>
      </c>
      <c r="E886" s="19" t="s">
        <v>619</v>
      </c>
      <c r="F886" s="60">
        <v>2111</v>
      </c>
      <c r="G886" s="32">
        <v>53650</v>
      </c>
      <c r="H886" s="87">
        <v>43343</v>
      </c>
      <c r="I886" s="90">
        <v>0</v>
      </c>
      <c r="J886" s="90">
        <f t="shared" si="26"/>
        <v>53650</v>
      </c>
      <c r="K886" s="90" t="str">
        <f t="shared" si="27"/>
        <v>ATRASADO</v>
      </c>
    </row>
    <row r="887" spans="2:11">
      <c r="B887" s="11">
        <v>43373</v>
      </c>
      <c r="C887" s="49" t="s">
        <v>625</v>
      </c>
      <c r="D887" s="13" t="s">
        <v>188</v>
      </c>
      <c r="E887" s="19" t="s">
        <v>626</v>
      </c>
      <c r="F887" s="60">
        <v>2111</v>
      </c>
      <c r="G887" s="32">
        <v>54525</v>
      </c>
      <c r="H887" s="87">
        <v>43373</v>
      </c>
      <c r="I887" s="90">
        <v>0</v>
      </c>
      <c r="J887" s="90">
        <f t="shared" si="26"/>
        <v>54525</v>
      </c>
      <c r="K887" s="90" t="str">
        <f t="shared" si="27"/>
        <v>ATRASADO</v>
      </c>
    </row>
    <row r="888" spans="2:11">
      <c r="B888" s="11">
        <v>43404</v>
      </c>
      <c r="C888" s="49" t="s">
        <v>634</v>
      </c>
      <c r="D888" s="13" t="s">
        <v>188</v>
      </c>
      <c r="E888" s="19" t="s">
        <v>635</v>
      </c>
      <c r="F888" s="60">
        <v>2111</v>
      </c>
      <c r="G888" s="32">
        <v>54275</v>
      </c>
      <c r="H888" s="87">
        <v>43404</v>
      </c>
      <c r="I888" s="90">
        <v>0</v>
      </c>
      <c r="J888" s="90">
        <f t="shared" si="26"/>
        <v>54275</v>
      </c>
      <c r="K888" s="90" t="str">
        <f t="shared" si="27"/>
        <v>ATRASADO</v>
      </c>
    </row>
    <row r="889" spans="2:11">
      <c r="B889" s="11">
        <v>43434</v>
      </c>
      <c r="C889" s="49" t="s">
        <v>640</v>
      </c>
      <c r="D889" s="13" t="s">
        <v>188</v>
      </c>
      <c r="E889" s="19" t="s">
        <v>641</v>
      </c>
      <c r="F889" s="60">
        <v>2111</v>
      </c>
      <c r="G889" s="32">
        <v>54275</v>
      </c>
      <c r="H889" s="87">
        <v>43404</v>
      </c>
      <c r="I889" s="90">
        <v>0</v>
      </c>
      <c r="J889" s="90">
        <f t="shared" si="26"/>
        <v>54275</v>
      </c>
      <c r="K889" s="90" t="str">
        <f t="shared" si="27"/>
        <v>ATRASADO</v>
      </c>
    </row>
    <row r="890" spans="2:11">
      <c r="B890" s="11">
        <v>43465</v>
      </c>
      <c r="C890" s="49" t="s">
        <v>650</v>
      </c>
      <c r="D890" s="13" t="s">
        <v>188</v>
      </c>
      <c r="E890" s="19" t="s">
        <v>651</v>
      </c>
      <c r="F890" s="60">
        <v>2111</v>
      </c>
      <c r="G890" s="32">
        <v>54350</v>
      </c>
      <c r="H890" s="87">
        <v>43465</v>
      </c>
      <c r="I890" s="90">
        <v>0</v>
      </c>
      <c r="J890" s="90">
        <f t="shared" si="26"/>
        <v>54350</v>
      </c>
      <c r="K890" s="90" t="str">
        <f t="shared" si="27"/>
        <v>ATRASADO</v>
      </c>
    </row>
    <row r="891" spans="2:11">
      <c r="B891" s="11">
        <v>43496</v>
      </c>
      <c r="C891" s="49" t="s">
        <v>653</v>
      </c>
      <c r="D891" s="13" t="s">
        <v>188</v>
      </c>
      <c r="E891" s="19" t="s">
        <v>655</v>
      </c>
      <c r="F891" s="60">
        <v>2111</v>
      </c>
      <c r="G891" s="32">
        <v>54275</v>
      </c>
      <c r="H891" s="87">
        <v>43496</v>
      </c>
      <c r="I891" s="90">
        <v>0</v>
      </c>
      <c r="J891" s="90">
        <f t="shared" si="26"/>
        <v>54275</v>
      </c>
      <c r="K891" s="90" t="str">
        <f t="shared" si="27"/>
        <v>ATRASADO</v>
      </c>
    </row>
    <row r="892" spans="2:11">
      <c r="B892" s="11">
        <v>43521</v>
      </c>
      <c r="C892" s="49" t="s">
        <v>661</v>
      </c>
      <c r="D892" s="13" t="s">
        <v>188</v>
      </c>
      <c r="E892" s="19" t="s">
        <v>663</v>
      </c>
      <c r="F892" s="60">
        <v>2111</v>
      </c>
      <c r="G892" s="32">
        <v>54225</v>
      </c>
      <c r="H892" s="87">
        <v>43521</v>
      </c>
      <c r="I892" s="90">
        <v>0</v>
      </c>
      <c r="J892" s="90">
        <f t="shared" si="26"/>
        <v>54225</v>
      </c>
      <c r="K892" s="90" t="str">
        <f t="shared" si="27"/>
        <v>ATRASADO</v>
      </c>
    </row>
    <row r="893" spans="2:11">
      <c r="B893" s="11">
        <v>43549</v>
      </c>
      <c r="C893" s="49" t="s">
        <v>669</v>
      </c>
      <c r="D893" s="13" t="s">
        <v>188</v>
      </c>
      <c r="E893" s="19" t="s">
        <v>670</v>
      </c>
      <c r="F893" s="60">
        <v>2111</v>
      </c>
      <c r="G893" s="32">
        <v>54050</v>
      </c>
      <c r="H893" s="87">
        <v>43549</v>
      </c>
      <c r="I893" s="90">
        <v>0</v>
      </c>
      <c r="J893" s="90">
        <f t="shared" si="26"/>
        <v>54050</v>
      </c>
      <c r="K893" s="90" t="str">
        <f t="shared" si="27"/>
        <v>ATRASADO</v>
      </c>
    </row>
    <row r="894" spans="2:11">
      <c r="B894" s="11">
        <v>43580</v>
      </c>
      <c r="C894" s="49" t="s">
        <v>677</v>
      </c>
      <c r="D894" s="13" t="s">
        <v>188</v>
      </c>
      <c r="E894" s="19" t="s">
        <v>678</v>
      </c>
      <c r="F894" s="60">
        <v>2111</v>
      </c>
      <c r="G894" s="32">
        <v>54450</v>
      </c>
      <c r="H894" s="87">
        <v>43580</v>
      </c>
      <c r="I894" s="90">
        <v>0</v>
      </c>
      <c r="J894" s="90">
        <f t="shared" si="26"/>
        <v>54450</v>
      </c>
      <c r="K894" s="90" t="str">
        <f t="shared" si="27"/>
        <v>ATRASADO</v>
      </c>
    </row>
    <row r="895" spans="2:11">
      <c r="B895" s="11">
        <v>43610</v>
      </c>
      <c r="C895" s="49" t="s">
        <v>686</v>
      </c>
      <c r="D895" s="13" t="s">
        <v>188</v>
      </c>
      <c r="E895" s="19" t="s">
        <v>688</v>
      </c>
      <c r="F895" s="60">
        <v>2111</v>
      </c>
      <c r="G895" s="32">
        <v>54325</v>
      </c>
      <c r="H895" s="87">
        <v>43610</v>
      </c>
      <c r="I895" s="90">
        <v>0</v>
      </c>
      <c r="J895" s="90">
        <f t="shared" si="26"/>
        <v>54325</v>
      </c>
      <c r="K895" s="90" t="str">
        <f t="shared" si="27"/>
        <v>ATRASADO</v>
      </c>
    </row>
    <row r="896" spans="2:11">
      <c r="B896" s="11">
        <v>43641</v>
      </c>
      <c r="C896" s="49" t="s">
        <v>697</v>
      </c>
      <c r="D896" s="13" t="s">
        <v>188</v>
      </c>
      <c r="E896" s="19" t="s">
        <v>699</v>
      </c>
      <c r="F896" s="60">
        <v>2111</v>
      </c>
      <c r="G896" s="32">
        <v>54250</v>
      </c>
      <c r="H896" s="87">
        <v>43641</v>
      </c>
      <c r="I896" s="90">
        <v>0</v>
      </c>
      <c r="J896" s="90">
        <f t="shared" si="26"/>
        <v>54250</v>
      </c>
      <c r="K896" s="90" t="str">
        <f t="shared" si="27"/>
        <v>ATRASADO</v>
      </c>
    </row>
    <row r="897" spans="2:11">
      <c r="B897" s="11">
        <v>43677</v>
      </c>
      <c r="C897" s="49" t="s">
        <v>707</v>
      </c>
      <c r="D897" s="13" t="s">
        <v>188</v>
      </c>
      <c r="E897" s="19" t="s">
        <v>712</v>
      </c>
      <c r="F897" s="60">
        <v>2111</v>
      </c>
      <c r="G897" s="32">
        <v>54700</v>
      </c>
      <c r="H897" s="87">
        <v>43671</v>
      </c>
      <c r="I897" s="90">
        <v>0</v>
      </c>
      <c r="J897" s="90">
        <f t="shared" si="26"/>
        <v>54700</v>
      </c>
      <c r="K897" s="90" t="str">
        <f t="shared" si="27"/>
        <v>ATRASADO</v>
      </c>
    </row>
    <row r="898" spans="2:11">
      <c r="B898" s="11">
        <v>43702</v>
      </c>
      <c r="C898" s="49" t="s">
        <v>711</v>
      </c>
      <c r="D898" s="13" t="s">
        <v>188</v>
      </c>
      <c r="E898" s="19" t="s">
        <v>713</v>
      </c>
      <c r="F898" s="60">
        <v>2111</v>
      </c>
      <c r="G898" s="32">
        <v>55250</v>
      </c>
      <c r="H898" s="87">
        <v>43708</v>
      </c>
      <c r="I898" s="90">
        <v>0</v>
      </c>
      <c r="J898" s="90">
        <f t="shared" si="26"/>
        <v>55250</v>
      </c>
      <c r="K898" s="90" t="str">
        <f t="shared" si="27"/>
        <v>ATRASADO</v>
      </c>
    </row>
    <row r="899" spans="2:11">
      <c r="B899" s="11">
        <v>43733</v>
      </c>
      <c r="C899" s="49" t="s">
        <v>719</v>
      </c>
      <c r="D899" s="13" t="s">
        <v>188</v>
      </c>
      <c r="E899" s="19" t="s">
        <v>720</v>
      </c>
      <c r="F899" s="60">
        <v>2111</v>
      </c>
      <c r="G899" s="32">
        <v>55525</v>
      </c>
      <c r="H899" s="87">
        <v>43708</v>
      </c>
      <c r="I899" s="90">
        <v>0</v>
      </c>
      <c r="J899" s="90">
        <f t="shared" si="26"/>
        <v>55525</v>
      </c>
      <c r="K899" s="90" t="str">
        <f t="shared" si="27"/>
        <v>ATRASADO</v>
      </c>
    </row>
    <row r="900" spans="2:11">
      <c r="B900" s="11">
        <v>43763</v>
      </c>
      <c r="C900" s="49" t="s">
        <v>726</v>
      </c>
      <c r="D900" s="13" t="s">
        <v>188</v>
      </c>
      <c r="E900" s="19" t="s">
        <v>734</v>
      </c>
      <c r="F900" s="60">
        <v>2111</v>
      </c>
      <c r="G900" s="32">
        <v>50625</v>
      </c>
      <c r="H900" s="87">
        <v>43763</v>
      </c>
      <c r="I900" s="90">
        <v>0</v>
      </c>
      <c r="J900" s="90">
        <f t="shared" si="26"/>
        <v>50625</v>
      </c>
      <c r="K900" s="90" t="str">
        <f t="shared" si="27"/>
        <v>ATRASADO</v>
      </c>
    </row>
    <row r="901" spans="2:11">
      <c r="B901" s="11">
        <v>43794</v>
      </c>
      <c r="C901" s="49" t="s">
        <v>732</v>
      </c>
      <c r="D901" s="13" t="s">
        <v>188</v>
      </c>
      <c r="E901" s="19" t="s">
        <v>735</v>
      </c>
      <c r="F901" s="60">
        <v>2111</v>
      </c>
      <c r="G901" s="32">
        <v>52625</v>
      </c>
      <c r="H901" s="87">
        <v>43794</v>
      </c>
      <c r="I901" s="90">
        <v>0</v>
      </c>
      <c r="J901" s="90">
        <f t="shared" si="26"/>
        <v>52625</v>
      </c>
      <c r="K901" s="90" t="str">
        <f t="shared" si="27"/>
        <v>ATRASADO</v>
      </c>
    </row>
    <row r="902" spans="2:11">
      <c r="B902" s="11">
        <v>43824</v>
      </c>
      <c r="C902" s="49" t="s">
        <v>738</v>
      </c>
      <c r="D902" s="13" t="s">
        <v>188</v>
      </c>
      <c r="E902" s="19" t="s">
        <v>739</v>
      </c>
      <c r="F902" s="60">
        <v>2111</v>
      </c>
      <c r="G902" s="32">
        <v>54150</v>
      </c>
      <c r="H902" s="87">
        <v>43824</v>
      </c>
      <c r="I902" s="90">
        <v>0</v>
      </c>
      <c r="J902" s="90">
        <f t="shared" si="26"/>
        <v>54150</v>
      </c>
      <c r="K902" s="90" t="str">
        <f t="shared" si="27"/>
        <v>ATRASADO</v>
      </c>
    </row>
    <row r="903" spans="2:11">
      <c r="B903" s="11">
        <v>43855</v>
      </c>
      <c r="C903" s="49" t="s">
        <v>748</v>
      </c>
      <c r="D903" s="13" t="s">
        <v>188</v>
      </c>
      <c r="E903" s="19" t="s">
        <v>750</v>
      </c>
      <c r="F903" s="60">
        <v>2111</v>
      </c>
      <c r="G903" s="32">
        <v>54675</v>
      </c>
      <c r="H903" s="87">
        <v>43855</v>
      </c>
      <c r="I903" s="90">
        <v>0</v>
      </c>
      <c r="J903" s="90">
        <f t="shared" si="26"/>
        <v>54675</v>
      </c>
      <c r="K903" s="90" t="str">
        <f t="shared" si="27"/>
        <v>ATRASADO</v>
      </c>
    </row>
    <row r="904" spans="2:11">
      <c r="B904" s="11">
        <v>43886</v>
      </c>
      <c r="C904" s="49" t="s">
        <v>753</v>
      </c>
      <c r="D904" s="13" t="s">
        <v>188</v>
      </c>
      <c r="E904" s="19" t="s">
        <v>754</v>
      </c>
      <c r="F904" s="60">
        <v>2111</v>
      </c>
      <c r="G904" s="32">
        <v>54275</v>
      </c>
      <c r="H904" s="87">
        <v>43886</v>
      </c>
      <c r="I904" s="90">
        <v>0</v>
      </c>
      <c r="J904" s="90">
        <f t="shared" si="26"/>
        <v>54275</v>
      </c>
      <c r="K904" s="90" t="str">
        <f t="shared" si="27"/>
        <v>ATRASADO</v>
      </c>
    </row>
    <row r="905" spans="2:11">
      <c r="B905" s="11" t="s">
        <v>852</v>
      </c>
      <c r="C905" s="49" t="s">
        <v>850</v>
      </c>
      <c r="D905" s="13" t="s">
        <v>188</v>
      </c>
      <c r="E905" s="19" t="s">
        <v>853</v>
      </c>
      <c r="F905" s="60">
        <v>2111</v>
      </c>
      <c r="G905" s="32">
        <v>54075</v>
      </c>
      <c r="H905" s="87" t="s">
        <v>852</v>
      </c>
      <c r="I905" s="90">
        <v>0</v>
      </c>
      <c r="J905" s="90">
        <f t="shared" si="26"/>
        <v>54075</v>
      </c>
      <c r="K905" s="90" t="str">
        <f t="shared" si="27"/>
        <v>ATRASADO</v>
      </c>
    </row>
    <row r="906" spans="2:11">
      <c r="B906" s="11" t="s">
        <v>857</v>
      </c>
      <c r="C906" s="49" t="s">
        <v>858</v>
      </c>
      <c r="D906" s="13" t="s">
        <v>188</v>
      </c>
      <c r="E906" s="19" t="s">
        <v>859</v>
      </c>
      <c r="F906" s="60">
        <v>2111</v>
      </c>
      <c r="G906" s="32">
        <v>54725</v>
      </c>
      <c r="H906" s="87" t="s">
        <v>857</v>
      </c>
      <c r="I906" s="90">
        <v>0</v>
      </c>
      <c r="J906" s="90">
        <f t="shared" si="26"/>
        <v>54725</v>
      </c>
      <c r="K906" s="90" t="str">
        <f t="shared" si="27"/>
        <v>ATRASADO</v>
      </c>
    </row>
    <row r="907" spans="2:11">
      <c r="B907" s="11">
        <v>43976</v>
      </c>
      <c r="C907" s="49" t="s">
        <v>862</v>
      </c>
      <c r="D907" s="13" t="s">
        <v>188</v>
      </c>
      <c r="E907" s="19" t="s">
        <v>863</v>
      </c>
      <c r="F907" s="60">
        <v>2111</v>
      </c>
      <c r="G907" s="32">
        <v>54825</v>
      </c>
      <c r="H907" s="87">
        <v>43976</v>
      </c>
      <c r="I907" s="90">
        <v>0</v>
      </c>
      <c r="J907" s="90">
        <f t="shared" si="26"/>
        <v>54825</v>
      </c>
      <c r="K907" s="90" t="str">
        <f t="shared" si="27"/>
        <v>ATRASADO</v>
      </c>
    </row>
    <row r="908" spans="2:11">
      <c r="B908" s="11">
        <v>44007</v>
      </c>
      <c r="C908" s="49" t="s">
        <v>864</v>
      </c>
      <c r="D908" s="13" t="s">
        <v>188</v>
      </c>
      <c r="E908" s="19" t="s">
        <v>866</v>
      </c>
      <c r="F908" s="60">
        <v>2111</v>
      </c>
      <c r="G908" s="32">
        <v>54950</v>
      </c>
      <c r="H908" s="87">
        <v>44007</v>
      </c>
      <c r="I908" s="90">
        <v>0</v>
      </c>
      <c r="J908" s="90">
        <f t="shared" si="26"/>
        <v>54950</v>
      </c>
      <c r="K908" s="90" t="str">
        <f t="shared" si="27"/>
        <v>ATRASADO</v>
      </c>
    </row>
    <row r="909" spans="2:11">
      <c r="B909" s="11">
        <v>44037</v>
      </c>
      <c r="C909" s="49" t="s">
        <v>869</v>
      </c>
      <c r="D909" s="13" t="s">
        <v>188</v>
      </c>
      <c r="E909" s="19" t="s">
        <v>875</v>
      </c>
      <c r="F909" s="60">
        <v>2111</v>
      </c>
      <c r="G909" s="32">
        <v>43975</v>
      </c>
      <c r="H909" s="87">
        <v>44037</v>
      </c>
      <c r="I909" s="90">
        <v>0</v>
      </c>
      <c r="J909" s="90">
        <f t="shared" si="26"/>
        <v>43975</v>
      </c>
      <c r="K909" s="90" t="str">
        <f t="shared" si="27"/>
        <v>ATRASADO</v>
      </c>
    </row>
    <row r="910" spans="2:11">
      <c r="B910" s="11" t="s">
        <v>946</v>
      </c>
      <c r="C910" s="49" t="s">
        <v>944</v>
      </c>
      <c r="D910" s="13" t="s">
        <v>188</v>
      </c>
      <c r="E910" s="19" t="s">
        <v>947</v>
      </c>
      <c r="F910" s="60">
        <v>2111</v>
      </c>
      <c r="G910" s="32">
        <v>56875</v>
      </c>
      <c r="H910" s="87" t="s">
        <v>946</v>
      </c>
      <c r="I910" s="90">
        <v>0</v>
      </c>
      <c r="J910" s="90">
        <f t="shared" si="26"/>
        <v>56875</v>
      </c>
      <c r="K910" s="90" t="str">
        <f t="shared" si="27"/>
        <v>ATRASADO</v>
      </c>
    </row>
    <row r="911" spans="2:11">
      <c r="B911" s="11" t="s">
        <v>976</v>
      </c>
      <c r="C911" s="49" t="s">
        <v>974</v>
      </c>
      <c r="D911" s="13" t="s">
        <v>188</v>
      </c>
      <c r="E911" s="19" t="s">
        <v>977</v>
      </c>
      <c r="F911" s="60">
        <v>2111</v>
      </c>
      <c r="G911" s="32">
        <v>57000</v>
      </c>
      <c r="H911" s="87" t="s">
        <v>978</v>
      </c>
      <c r="I911" s="90">
        <v>0</v>
      </c>
      <c r="J911" s="90">
        <f t="shared" si="26"/>
        <v>57000</v>
      </c>
      <c r="K911" s="90" t="str">
        <f t="shared" si="27"/>
        <v>ATRASADO</v>
      </c>
    </row>
    <row r="912" spans="2:11">
      <c r="B912" s="11">
        <v>41137</v>
      </c>
      <c r="C912" s="49" t="s">
        <v>435</v>
      </c>
      <c r="D912" s="13" t="s">
        <v>188</v>
      </c>
      <c r="E912" s="19" t="s">
        <v>436</v>
      </c>
      <c r="F912" s="60">
        <v>2111</v>
      </c>
      <c r="G912" s="32">
        <v>2347907.36</v>
      </c>
      <c r="H912" s="87">
        <v>41137</v>
      </c>
      <c r="I912" s="90">
        <v>0</v>
      </c>
      <c r="J912" s="90">
        <f t="shared" ref="J912:J975" si="28">IF(G912&gt;0,G912,"")</f>
        <v>2347907.36</v>
      </c>
      <c r="K912" s="90" t="str">
        <f t="shared" si="27"/>
        <v>ATRASADO</v>
      </c>
    </row>
    <row r="913" spans="2:11">
      <c r="B913" s="10"/>
      <c r="C913" s="49"/>
      <c r="D913" s="13"/>
      <c r="E913" s="19"/>
      <c r="F913" s="60"/>
      <c r="G913" s="32"/>
      <c r="H913" s="208"/>
      <c r="I913" s="90"/>
      <c r="J913" s="90" t="str">
        <f t="shared" si="28"/>
        <v/>
      </c>
      <c r="K913" s="90"/>
    </row>
    <row r="914" spans="2:11">
      <c r="B914" s="10">
        <v>44203</v>
      </c>
      <c r="C914" s="49" t="s">
        <v>1535</v>
      </c>
      <c r="D914" s="107" t="s">
        <v>1536</v>
      </c>
      <c r="E914" s="19" t="s">
        <v>570</v>
      </c>
      <c r="F914" s="60">
        <v>2311</v>
      </c>
      <c r="G914" s="32">
        <v>280000</v>
      </c>
      <c r="H914" s="208">
        <v>44203</v>
      </c>
      <c r="I914" s="90">
        <v>0</v>
      </c>
      <c r="J914" s="90">
        <f t="shared" si="28"/>
        <v>280000</v>
      </c>
      <c r="K914" s="90" t="str">
        <f t="shared" si="27"/>
        <v>ATRASADO</v>
      </c>
    </row>
    <row r="915" spans="2:11">
      <c r="B915" s="10" t="s">
        <v>1537</v>
      </c>
      <c r="C915" s="49" t="s">
        <v>1538</v>
      </c>
      <c r="D915" s="107" t="s">
        <v>1536</v>
      </c>
      <c r="E915" s="19" t="s">
        <v>570</v>
      </c>
      <c r="F915" s="60">
        <v>2311</v>
      </c>
      <c r="G915" s="32">
        <v>200000</v>
      </c>
      <c r="H915" s="208" t="s">
        <v>1537</v>
      </c>
      <c r="I915" s="90">
        <v>0</v>
      </c>
      <c r="J915" s="90">
        <f t="shared" si="28"/>
        <v>200000</v>
      </c>
      <c r="K915" s="90" t="str">
        <f t="shared" si="27"/>
        <v>ATRASADO</v>
      </c>
    </row>
    <row r="916" spans="2:11">
      <c r="B916" s="10" t="s">
        <v>1537</v>
      </c>
      <c r="C916" s="49" t="s">
        <v>1539</v>
      </c>
      <c r="D916" s="107" t="s">
        <v>1536</v>
      </c>
      <c r="E916" s="19" t="s">
        <v>570</v>
      </c>
      <c r="F916" s="60">
        <v>2311</v>
      </c>
      <c r="G916" s="32">
        <v>3646500</v>
      </c>
      <c r="H916" s="208" t="s">
        <v>1537</v>
      </c>
      <c r="I916" s="90">
        <v>0</v>
      </c>
      <c r="J916" s="90">
        <f t="shared" si="28"/>
        <v>3646500</v>
      </c>
      <c r="K916" s="90" t="str">
        <f t="shared" si="27"/>
        <v>ATRASADO</v>
      </c>
    </row>
    <row r="917" spans="2:11">
      <c r="B917" s="10" t="s">
        <v>1540</v>
      </c>
      <c r="C917" s="49" t="s">
        <v>1541</v>
      </c>
      <c r="D917" s="107" t="s">
        <v>1536</v>
      </c>
      <c r="E917" s="19" t="s">
        <v>570</v>
      </c>
      <c r="F917" s="60">
        <v>2311</v>
      </c>
      <c r="G917" s="32">
        <v>3950375</v>
      </c>
      <c r="H917" s="208" t="s">
        <v>1540</v>
      </c>
      <c r="I917" s="90">
        <v>0</v>
      </c>
      <c r="J917" s="90">
        <f t="shared" si="28"/>
        <v>3950375</v>
      </c>
      <c r="K917" s="90" t="str">
        <f t="shared" si="27"/>
        <v>ATRASADO</v>
      </c>
    </row>
    <row r="918" spans="2:11">
      <c r="B918" s="10" t="s">
        <v>1542</v>
      </c>
      <c r="C918" s="49" t="s">
        <v>1543</v>
      </c>
      <c r="D918" s="107" t="s">
        <v>1536</v>
      </c>
      <c r="E918" s="19" t="s">
        <v>570</v>
      </c>
      <c r="F918" s="60">
        <v>2311</v>
      </c>
      <c r="G918" s="32">
        <v>1215500</v>
      </c>
      <c r="H918" s="208" t="s">
        <v>1542</v>
      </c>
      <c r="I918" s="90">
        <v>0</v>
      </c>
      <c r="J918" s="90">
        <f t="shared" si="28"/>
        <v>1215500</v>
      </c>
      <c r="K918" s="90" t="str">
        <f t="shared" si="27"/>
        <v>ATRASADO</v>
      </c>
    </row>
    <row r="919" spans="2:11">
      <c r="B919" s="10"/>
      <c r="C919" s="49"/>
      <c r="D919" s="13"/>
      <c r="E919" s="19"/>
      <c r="F919" s="60"/>
      <c r="G919" s="32"/>
      <c r="H919" s="208"/>
      <c r="I919" s="90"/>
      <c r="J919" s="90" t="str">
        <f t="shared" si="28"/>
        <v/>
      </c>
      <c r="K919" s="90"/>
    </row>
    <row r="920" spans="2:11">
      <c r="B920" s="10">
        <v>44506</v>
      </c>
      <c r="C920" s="49" t="s">
        <v>1544</v>
      </c>
      <c r="D920" s="98" t="s">
        <v>1545</v>
      </c>
      <c r="E920" s="19" t="s">
        <v>102</v>
      </c>
      <c r="F920" s="60">
        <v>2221</v>
      </c>
      <c r="G920" s="32">
        <v>17700</v>
      </c>
      <c r="H920" s="208">
        <v>44506</v>
      </c>
      <c r="I920" s="90">
        <v>0</v>
      </c>
      <c r="J920" s="90">
        <f t="shared" si="28"/>
        <v>17700</v>
      </c>
      <c r="K920" s="90" t="str">
        <f t="shared" si="27"/>
        <v>ATRASADO</v>
      </c>
    </row>
    <row r="921" spans="2:11">
      <c r="B921" s="10"/>
      <c r="C921" s="49"/>
      <c r="D921" s="13"/>
      <c r="E921" s="19"/>
      <c r="F921" s="60"/>
      <c r="G921" s="32"/>
      <c r="H921" s="208"/>
      <c r="I921" s="90"/>
      <c r="J921" s="90" t="str">
        <f t="shared" si="28"/>
        <v/>
      </c>
      <c r="K921" s="90"/>
    </row>
    <row r="922" spans="2:11">
      <c r="B922" s="10" t="s">
        <v>1540</v>
      </c>
      <c r="C922" s="49" t="s">
        <v>1546</v>
      </c>
      <c r="D922" s="13" t="s">
        <v>1547</v>
      </c>
      <c r="E922" s="19" t="s">
        <v>1548</v>
      </c>
      <c r="F922" s="60">
        <v>2263</v>
      </c>
      <c r="G922" s="32">
        <v>326646</v>
      </c>
      <c r="H922" s="208" t="s">
        <v>1540</v>
      </c>
      <c r="I922" s="90">
        <v>0</v>
      </c>
      <c r="J922" s="90">
        <f t="shared" si="28"/>
        <v>326646</v>
      </c>
      <c r="K922" s="90" t="str">
        <f t="shared" si="27"/>
        <v>ATRASADO</v>
      </c>
    </row>
    <row r="923" spans="2:11">
      <c r="B923" s="10"/>
      <c r="C923" s="49"/>
      <c r="D923" s="13"/>
      <c r="E923" s="19"/>
      <c r="F923" s="60"/>
      <c r="G923" s="32"/>
      <c r="H923" s="208"/>
      <c r="I923" s="90"/>
      <c r="J923" s="90" t="str">
        <f t="shared" si="28"/>
        <v/>
      </c>
      <c r="K923" s="90"/>
    </row>
    <row r="924" spans="2:11">
      <c r="B924" s="10">
        <v>44203</v>
      </c>
      <c r="C924" s="49" t="s">
        <v>1549</v>
      </c>
      <c r="D924" s="98" t="s">
        <v>897</v>
      </c>
      <c r="E924" s="19" t="s">
        <v>102</v>
      </c>
      <c r="F924" s="60">
        <v>2221</v>
      </c>
      <c r="G924" s="32">
        <v>35400</v>
      </c>
      <c r="H924" s="208">
        <v>44203</v>
      </c>
      <c r="I924" s="90">
        <v>0</v>
      </c>
      <c r="J924" s="90">
        <f t="shared" si="28"/>
        <v>35400</v>
      </c>
      <c r="K924" s="90" t="str">
        <f t="shared" si="27"/>
        <v>ATRASADO</v>
      </c>
    </row>
    <row r="925" spans="2:11">
      <c r="B925" s="10">
        <v>44384</v>
      </c>
      <c r="C925" s="49" t="s">
        <v>1505</v>
      </c>
      <c r="D925" s="98" t="s">
        <v>897</v>
      </c>
      <c r="E925" s="19" t="s">
        <v>102</v>
      </c>
      <c r="F925" s="60">
        <v>2221</v>
      </c>
      <c r="G925" s="32">
        <v>35400</v>
      </c>
      <c r="H925" s="208">
        <v>44384</v>
      </c>
      <c r="I925" s="90">
        <v>0</v>
      </c>
      <c r="J925" s="90">
        <f t="shared" si="28"/>
        <v>35400</v>
      </c>
      <c r="K925" s="90" t="str">
        <f t="shared" si="27"/>
        <v>ATRASADO</v>
      </c>
    </row>
    <row r="926" spans="2:11">
      <c r="B926" s="10"/>
      <c r="C926" s="49"/>
      <c r="D926" s="13"/>
      <c r="E926" s="19"/>
      <c r="F926" s="60"/>
      <c r="G926" s="32"/>
      <c r="H926" s="208"/>
      <c r="I926" s="90"/>
      <c r="J926" s="90" t="str">
        <f t="shared" si="28"/>
        <v/>
      </c>
      <c r="K926" s="90"/>
    </row>
    <row r="927" spans="2:11">
      <c r="B927" s="10">
        <v>44203</v>
      </c>
      <c r="C927" s="49" t="s">
        <v>1550</v>
      </c>
      <c r="D927" s="13" t="s">
        <v>1551</v>
      </c>
      <c r="E927" s="19" t="s">
        <v>556</v>
      </c>
      <c r="F927" s="60">
        <v>2611</v>
      </c>
      <c r="G927" s="32">
        <v>2005553.6</v>
      </c>
      <c r="H927" s="208">
        <v>44378</v>
      </c>
      <c r="I927" s="90">
        <v>0</v>
      </c>
      <c r="J927" s="90">
        <f t="shared" si="28"/>
        <v>2005553.6</v>
      </c>
      <c r="K927" s="90" t="str">
        <f t="shared" si="27"/>
        <v>ATRASADO</v>
      </c>
    </row>
    <row r="928" spans="2:11">
      <c r="B928" s="10"/>
      <c r="C928" s="49"/>
      <c r="D928" s="13"/>
      <c r="E928" s="19"/>
      <c r="F928" s="60"/>
      <c r="G928" s="32"/>
      <c r="H928" s="208"/>
      <c r="I928" s="90"/>
      <c r="J928" s="90" t="str">
        <f t="shared" si="28"/>
        <v/>
      </c>
      <c r="K928" s="90"/>
    </row>
    <row r="929" spans="2:11">
      <c r="B929" s="10">
        <v>41374</v>
      </c>
      <c r="C929" s="12">
        <v>1500000002</v>
      </c>
      <c r="D929" s="13" t="s">
        <v>15</v>
      </c>
      <c r="E929" s="19" t="s">
        <v>16</v>
      </c>
      <c r="F929" s="60">
        <v>2311</v>
      </c>
      <c r="G929" s="32">
        <v>251207.79</v>
      </c>
      <c r="H929" s="208">
        <v>41374</v>
      </c>
      <c r="I929" s="90">
        <v>0</v>
      </c>
      <c r="J929" s="90">
        <f t="shared" si="28"/>
        <v>251207.79</v>
      </c>
      <c r="K929" s="90" t="str">
        <f t="shared" si="27"/>
        <v>ATRASADO</v>
      </c>
    </row>
    <row r="930" spans="2:11">
      <c r="B930" s="10"/>
      <c r="C930" s="17"/>
      <c r="D930" s="13"/>
      <c r="E930" s="19"/>
      <c r="F930" s="60"/>
      <c r="G930" s="32"/>
      <c r="H930" s="208"/>
      <c r="I930" s="90"/>
      <c r="J930" s="90" t="str">
        <f t="shared" si="28"/>
        <v/>
      </c>
      <c r="K930" s="90"/>
    </row>
    <row r="931" spans="2:11">
      <c r="B931" s="10">
        <v>41676</v>
      </c>
      <c r="C931" s="12">
        <v>1500000001</v>
      </c>
      <c r="D931" s="13" t="s">
        <v>17</v>
      </c>
      <c r="E931" s="19" t="s">
        <v>8</v>
      </c>
      <c r="F931" s="60">
        <v>2311</v>
      </c>
      <c r="G931" s="32">
        <v>1291584</v>
      </c>
      <c r="H931" s="208">
        <v>41676</v>
      </c>
      <c r="I931" s="90">
        <v>0</v>
      </c>
      <c r="J931" s="90">
        <f t="shared" si="28"/>
        <v>1291584</v>
      </c>
      <c r="K931" s="90" t="str">
        <f t="shared" si="27"/>
        <v>ATRASADO</v>
      </c>
    </row>
    <row r="932" spans="2:11">
      <c r="B932" s="10"/>
      <c r="C932" s="12"/>
      <c r="D932" s="13"/>
      <c r="E932" s="19"/>
      <c r="F932" s="60"/>
      <c r="G932" s="32"/>
      <c r="H932" s="208"/>
      <c r="I932" s="90"/>
      <c r="J932" s="90" t="str">
        <f t="shared" si="28"/>
        <v/>
      </c>
      <c r="K932" s="90"/>
    </row>
    <row r="933" spans="2:11">
      <c r="B933" s="10" t="s">
        <v>964</v>
      </c>
      <c r="C933" s="49" t="s">
        <v>1552</v>
      </c>
      <c r="D933" s="13" t="s">
        <v>1553</v>
      </c>
      <c r="E933" s="19" t="s">
        <v>705</v>
      </c>
      <c r="F933" s="60">
        <v>2286</v>
      </c>
      <c r="G933" s="32">
        <v>73353.52</v>
      </c>
      <c r="H933" s="208" t="s">
        <v>964</v>
      </c>
      <c r="I933" s="90">
        <v>0</v>
      </c>
      <c r="J933" s="90">
        <f t="shared" si="28"/>
        <v>73353.52</v>
      </c>
      <c r="K933" s="90" t="str">
        <f t="shared" si="27"/>
        <v>ATRASADO</v>
      </c>
    </row>
    <row r="934" spans="2:11">
      <c r="B934" s="10"/>
      <c r="C934" s="12"/>
      <c r="D934" s="13"/>
      <c r="E934" s="19"/>
      <c r="F934" s="60"/>
      <c r="G934" s="32"/>
      <c r="H934" s="208"/>
      <c r="I934" s="90"/>
      <c r="J934" s="90" t="str">
        <f t="shared" si="28"/>
        <v/>
      </c>
      <c r="K934" s="90"/>
    </row>
    <row r="935" spans="2:11">
      <c r="B935" s="29">
        <v>41390</v>
      </c>
      <c r="C935" s="28">
        <v>1502065894</v>
      </c>
      <c r="D935" s="13" t="s">
        <v>199</v>
      </c>
      <c r="E935" s="19" t="s">
        <v>200</v>
      </c>
      <c r="F935" s="60">
        <v>2253</v>
      </c>
      <c r="G935" s="32">
        <v>9797.69</v>
      </c>
      <c r="H935" s="212">
        <v>41390</v>
      </c>
      <c r="I935" s="90">
        <v>0</v>
      </c>
      <c r="J935" s="90">
        <f t="shared" si="28"/>
        <v>9797.69</v>
      </c>
      <c r="K935" s="90" t="str">
        <f t="shared" si="27"/>
        <v>ATRASADO</v>
      </c>
    </row>
    <row r="936" spans="2:11">
      <c r="B936" s="29">
        <v>41390</v>
      </c>
      <c r="C936" s="28">
        <v>1502065895</v>
      </c>
      <c r="D936" s="13" t="s">
        <v>199</v>
      </c>
      <c r="E936" s="19" t="s">
        <v>200</v>
      </c>
      <c r="F936" s="60">
        <v>2253</v>
      </c>
      <c r="G936" s="32">
        <v>10089</v>
      </c>
      <c r="H936" s="212">
        <v>41390</v>
      </c>
      <c r="I936" s="90">
        <v>0</v>
      </c>
      <c r="J936" s="90">
        <f t="shared" si="28"/>
        <v>10089</v>
      </c>
      <c r="K936" s="90" t="str">
        <f t="shared" si="27"/>
        <v>ATRASADO</v>
      </c>
    </row>
    <row r="937" spans="2:11">
      <c r="B937" s="29">
        <v>41390</v>
      </c>
      <c r="C937" s="28">
        <v>1502065896</v>
      </c>
      <c r="D937" s="13" t="s">
        <v>199</v>
      </c>
      <c r="E937" s="19" t="s">
        <v>200</v>
      </c>
      <c r="F937" s="60">
        <v>2253</v>
      </c>
      <c r="G937" s="32">
        <v>10325</v>
      </c>
      <c r="H937" s="212">
        <v>41390</v>
      </c>
      <c r="I937" s="90">
        <v>0</v>
      </c>
      <c r="J937" s="90">
        <f t="shared" si="28"/>
        <v>10325</v>
      </c>
      <c r="K937" s="90" t="str">
        <f t="shared" si="27"/>
        <v>ATRASADO</v>
      </c>
    </row>
    <row r="938" spans="2:11">
      <c r="B938" s="29">
        <v>41390</v>
      </c>
      <c r="C938" s="28">
        <v>1502065897</v>
      </c>
      <c r="D938" s="13" t="s">
        <v>199</v>
      </c>
      <c r="E938" s="19" t="s">
        <v>200</v>
      </c>
      <c r="F938" s="60">
        <v>2253</v>
      </c>
      <c r="G938" s="32">
        <v>9571</v>
      </c>
      <c r="H938" s="212">
        <v>41390</v>
      </c>
      <c r="I938" s="90">
        <v>0</v>
      </c>
      <c r="J938" s="90">
        <f t="shared" si="28"/>
        <v>9571</v>
      </c>
      <c r="K938" s="90" t="str">
        <f t="shared" si="27"/>
        <v>ATRASADO</v>
      </c>
    </row>
    <row r="939" spans="2:11">
      <c r="B939" s="29"/>
      <c r="C939" s="28"/>
      <c r="D939" s="13"/>
      <c r="E939" s="19"/>
      <c r="F939" s="60"/>
      <c r="G939" s="32"/>
      <c r="H939" s="212"/>
      <c r="I939" s="90"/>
      <c r="J939" s="90" t="str">
        <f t="shared" si="28"/>
        <v/>
      </c>
      <c r="K939" s="90"/>
    </row>
    <row r="940" spans="2:11">
      <c r="B940" s="29">
        <v>42541</v>
      </c>
      <c r="C940" s="28" t="s">
        <v>500</v>
      </c>
      <c r="D940" s="13" t="s">
        <v>501</v>
      </c>
      <c r="E940" s="22" t="s">
        <v>120</v>
      </c>
      <c r="F940" s="60">
        <v>2355</v>
      </c>
      <c r="G940" s="32">
        <v>726880</v>
      </c>
      <c r="H940" s="212">
        <v>42541</v>
      </c>
      <c r="I940" s="90">
        <v>0</v>
      </c>
      <c r="J940" s="90">
        <f t="shared" si="28"/>
        <v>726880</v>
      </c>
      <c r="K940" s="90" t="str">
        <f t="shared" ref="K940:K1003" si="29">IF(J940&gt;0,"ATRASADO","")</f>
        <v>ATRASADO</v>
      </c>
    </row>
    <row r="941" spans="2:11">
      <c r="B941" s="29"/>
      <c r="C941" s="28"/>
      <c r="D941" s="13"/>
      <c r="E941" s="19"/>
      <c r="F941" s="60"/>
      <c r="G941" s="32"/>
      <c r="H941" s="212"/>
      <c r="I941" s="90"/>
      <c r="J941" s="90" t="str">
        <f t="shared" si="28"/>
        <v/>
      </c>
      <c r="K941" s="90"/>
    </row>
    <row r="942" spans="2:11">
      <c r="B942" s="82">
        <v>41054</v>
      </c>
      <c r="C942" s="16" t="s">
        <v>756</v>
      </c>
      <c r="D942" s="13" t="s">
        <v>203</v>
      </c>
      <c r="E942" s="19" t="s">
        <v>204</v>
      </c>
      <c r="F942" s="60">
        <v>215</v>
      </c>
      <c r="G942" s="32">
        <f>2868633.19+41561.54</f>
        <v>2910194.73</v>
      </c>
      <c r="H942" s="219">
        <v>41054</v>
      </c>
      <c r="I942" s="90">
        <v>0</v>
      </c>
      <c r="J942" s="90">
        <f t="shared" si="28"/>
        <v>2910194.73</v>
      </c>
      <c r="K942" s="90" t="str">
        <f t="shared" si="29"/>
        <v>ATRASADO</v>
      </c>
    </row>
    <row r="943" spans="2:11">
      <c r="B943" s="82">
        <v>41085</v>
      </c>
      <c r="C943" s="16" t="s">
        <v>757</v>
      </c>
      <c r="D943" s="13" t="s">
        <v>203</v>
      </c>
      <c r="E943" s="19" t="s">
        <v>204</v>
      </c>
      <c r="F943" s="60">
        <v>215</v>
      </c>
      <c r="G943" s="32">
        <v>2687502.79</v>
      </c>
      <c r="H943" s="219">
        <v>41085</v>
      </c>
      <c r="I943" s="90">
        <v>0</v>
      </c>
      <c r="J943" s="90">
        <f t="shared" si="28"/>
        <v>2687502.79</v>
      </c>
      <c r="K943" s="90" t="str">
        <f t="shared" si="29"/>
        <v>ATRASADO</v>
      </c>
    </row>
    <row r="944" spans="2:11">
      <c r="B944" s="82">
        <v>41115</v>
      </c>
      <c r="C944" s="16" t="s">
        <v>758</v>
      </c>
      <c r="D944" s="13" t="s">
        <v>203</v>
      </c>
      <c r="E944" s="19" t="s">
        <v>204</v>
      </c>
      <c r="F944" s="60">
        <v>215</v>
      </c>
      <c r="G944" s="32">
        <v>2691884.6</v>
      </c>
      <c r="H944" s="219">
        <v>41115</v>
      </c>
      <c r="I944" s="90">
        <v>0</v>
      </c>
      <c r="J944" s="90">
        <f t="shared" si="28"/>
        <v>2691884.6</v>
      </c>
      <c r="K944" s="90" t="str">
        <f t="shared" si="29"/>
        <v>ATRASADO</v>
      </c>
    </row>
    <row r="945" spans="2:11">
      <c r="B945" s="82">
        <v>41146</v>
      </c>
      <c r="C945" s="16" t="s">
        <v>759</v>
      </c>
      <c r="D945" s="13" t="s">
        <v>203</v>
      </c>
      <c r="E945" s="19" t="s">
        <v>204</v>
      </c>
      <c r="F945" s="60">
        <v>215</v>
      </c>
      <c r="G945" s="32">
        <v>2500712.7599999998</v>
      </c>
      <c r="H945" s="219">
        <v>41146</v>
      </c>
      <c r="I945" s="90">
        <v>0</v>
      </c>
      <c r="J945" s="90">
        <f t="shared" si="28"/>
        <v>2500712.7599999998</v>
      </c>
      <c r="K945" s="90" t="str">
        <f t="shared" si="29"/>
        <v>ATRASADO</v>
      </c>
    </row>
    <row r="946" spans="2:11">
      <c r="B946" s="82">
        <v>41177</v>
      </c>
      <c r="C946" s="16" t="s">
        <v>878</v>
      </c>
      <c r="D946" s="13" t="s">
        <v>203</v>
      </c>
      <c r="E946" s="19" t="s">
        <v>204</v>
      </c>
      <c r="F946" s="60">
        <v>215</v>
      </c>
      <c r="G946" s="32">
        <v>3162359.25</v>
      </c>
      <c r="H946" s="219">
        <v>41177</v>
      </c>
      <c r="I946" s="90">
        <v>0</v>
      </c>
      <c r="J946" s="90">
        <f t="shared" si="28"/>
        <v>3162359.25</v>
      </c>
      <c r="K946" s="90" t="str">
        <f t="shared" si="29"/>
        <v>ATRASADO</v>
      </c>
    </row>
    <row r="947" spans="2:11">
      <c r="B947" s="82">
        <v>41207</v>
      </c>
      <c r="C947" s="16" t="s">
        <v>760</v>
      </c>
      <c r="D947" s="13" t="s">
        <v>203</v>
      </c>
      <c r="E947" s="19" t="s">
        <v>204</v>
      </c>
      <c r="F947" s="60">
        <v>215</v>
      </c>
      <c r="G947" s="32">
        <v>3326669.34</v>
      </c>
      <c r="H947" s="219">
        <v>41207</v>
      </c>
      <c r="I947" s="90">
        <v>0</v>
      </c>
      <c r="J947" s="90">
        <f t="shared" si="28"/>
        <v>3326669.34</v>
      </c>
      <c r="K947" s="90" t="str">
        <f t="shared" si="29"/>
        <v>ATRASADO</v>
      </c>
    </row>
    <row r="948" spans="2:11">
      <c r="B948" s="82">
        <v>41238</v>
      </c>
      <c r="C948" s="16" t="s">
        <v>761</v>
      </c>
      <c r="D948" s="13" t="s">
        <v>203</v>
      </c>
      <c r="E948" s="19" t="s">
        <v>204</v>
      </c>
      <c r="F948" s="60">
        <v>215</v>
      </c>
      <c r="G948" s="32">
        <v>2552811.5599999996</v>
      </c>
      <c r="H948" s="219">
        <v>41238</v>
      </c>
      <c r="I948" s="90">
        <v>0</v>
      </c>
      <c r="J948" s="90">
        <f t="shared" si="28"/>
        <v>2552811.5599999996</v>
      </c>
      <c r="K948" s="90" t="str">
        <f t="shared" si="29"/>
        <v>ATRASADO</v>
      </c>
    </row>
    <row r="949" spans="2:11">
      <c r="B949" s="82">
        <v>41268</v>
      </c>
      <c r="C949" s="16" t="s">
        <v>762</v>
      </c>
      <c r="D949" s="13" t="s">
        <v>203</v>
      </c>
      <c r="E949" s="19" t="s">
        <v>204</v>
      </c>
      <c r="F949" s="60">
        <v>215</v>
      </c>
      <c r="G949" s="32">
        <v>3730933.1399999997</v>
      </c>
      <c r="H949" s="219">
        <v>41268</v>
      </c>
      <c r="I949" s="90">
        <v>0</v>
      </c>
      <c r="J949" s="90">
        <f t="shared" si="28"/>
        <v>3730933.1399999997</v>
      </c>
      <c r="K949" s="90" t="str">
        <f t="shared" si="29"/>
        <v>ATRASADO</v>
      </c>
    </row>
    <row r="950" spans="2:11">
      <c r="B950" s="82">
        <v>41299</v>
      </c>
      <c r="C950" s="16" t="s">
        <v>763</v>
      </c>
      <c r="D950" s="13" t="s">
        <v>203</v>
      </c>
      <c r="E950" s="19" t="s">
        <v>204</v>
      </c>
      <c r="F950" s="60">
        <v>215</v>
      </c>
      <c r="G950" s="32">
        <v>3038881.67</v>
      </c>
      <c r="H950" s="219">
        <v>41299</v>
      </c>
      <c r="I950" s="90">
        <v>0</v>
      </c>
      <c r="J950" s="90">
        <f t="shared" si="28"/>
        <v>3038881.67</v>
      </c>
      <c r="K950" s="90" t="str">
        <f t="shared" si="29"/>
        <v>ATRASADO</v>
      </c>
    </row>
    <row r="951" spans="2:11">
      <c r="B951" s="82">
        <v>41330</v>
      </c>
      <c r="C951" s="16" t="s">
        <v>764</v>
      </c>
      <c r="D951" s="13" t="s">
        <v>203</v>
      </c>
      <c r="E951" s="19" t="s">
        <v>204</v>
      </c>
      <c r="F951" s="60">
        <v>215</v>
      </c>
      <c r="G951" s="32">
        <v>2836102.1300000004</v>
      </c>
      <c r="H951" s="219">
        <v>41330</v>
      </c>
      <c r="I951" s="90">
        <v>0</v>
      </c>
      <c r="J951" s="90">
        <f t="shared" si="28"/>
        <v>2836102.1300000004</v>
      </c>
      <c r="K951" s="90" t="str">
        <f t="shared" si="29"/>
        <v>ATRASADO</v>
      </c>
    </row>
    <row r="952" spans="2:11">
      <c r="B952" s="82">
        <v>41358</v>
      </c>
      <c r="C952" s="16" t="s">
        <v>765</v>
      </c>
      <c r="D952" s="13" t="s">
        <v>203</v>
      </c>
      <c r="E952" s="19" t="s">
        <v>204</v>
      </c>
      <c r="F952" s="60">
        <v>215</v>
      </c>
      <c r="G952" s="32">
        <v>2842645.74</v>
      </c>
      <c r="H952" s="219">
        <v>41358</v>
      </c>
      <c r="I952" s="90">
        <v>0</v>
      </c>
      <c r="J952" s="90">
        <f t="shared" si="28"/>
        <v>2842645.74</v>
      </c>
      <c r="K952" s="90" t="str">
        <f t="shared" si="29"/>
        <v>ATRASADO</v>
      </c>
    </row>
    <row r="953" spans="2:11">
      <c r="B953" s="82">
        <v>41389</v>
      </c>
      <c r="C953" s="16" t="s">
        <v>766</v>
      </c>
      <c r="D953" s="13" t="s">
        <v>203</v>
      </c>
      <c r="E953" s="19" t="s">
        <v>204</v>
      </c>
      <c r="F953" s="60">
        <v>215</v>
      </c>
      <c r="G953" s="32">
        <v>2843453.1799999997</v>
      </c>
      <c r="H953" s="219">
        <v>41389</v>
      </c>
      <c r="I953" s="90">
        <v>0</v>
      </c>
      <c r="J953" s="90">
        <f t="shared" si="28"/>
        <v>2843453.1799999997</v>
      </c>
      <c r="K953" s="90" t="str">
        <f t="shared" si="29"/>
        <v>ATRASADO</v>
      </c>
    </row>
    <row r="954" spans="2:11">
      <c r="B954" s="82">
        <v>41419</v>
      </c>
      <c r="C954" s="16" t="s">
        <v>767</v>
      </c>
      <c r="D954" s="13" t="s">
        <v>203</v>
      </c>
      <c r="E954" s="19" t="s">
        <v>204</v>
      </c>
      <c r="F954" s="60">
        <v>215</v>
      </c>
      <c r="G954" s="32">
        <v>2820134.8</v>
      </c>
      <c r="H954" s="219">
        <v>41419</v>
      </c>
      <c r="I954" s="90">
        <v>0</v>
      </c>
      <c r="J954" s="90">
        <f t="shared" si="28"/>
        <v>2820134.8</v>
      </c>
      <c r="K954" s="90" t="str">
        <f t="shared" si="29"/>
        <v>ATRASADO</v>
      </c>
    </row>
    <row r="955" spans="2:11">
      <c r="B955" s="82">
        <v>41450</v>
      </c>
      <c r="C955" s="16" t="s">
        <v>768</v>
      </c>
      <c r="D955" s="13" t="s">
        <v>203</v>
      </c>
      <c r="E955" s="19" t="s">
        <v>204</v>
      </c>
      <c r="F955" s="60">
        <v>215</v>
      </c>
      <c r="G955" s="32">
        <v>2784151.08</v>
      </c>
      <c r="H955" s="219">
        <v>41450</v>
      </c>
      <c r="I955" s="90">
        <v>0</v>
      </c>
      <c r="J955" s="90">
        <f t="shared" si="28"/>
        <v>2784151.08</v>
      </c>
      <c r="K955" s="90" t="str">
        <f t="shared" si="29"/>
        <v>ATRASADO</v>
      </c>
    </row>
    <row r="956" spans="2:11">
      <c r="B956" s="82">
        <v>41480</v>
      </c>
      <c r="C956" s="16" t="s">
        <v>769</v>
      </c>
      <c r="D956" s="13" t="s">
        <v>203</v>
      </c>
      <c r="E956" s="19" t="s">
        <v>204</v>
      </c>
      <c r="F956" s="60">
        <v>215</v>
      </c>
      <c r="G956" s="32">
        <v>2824919.67</v>
      </c>
      <c r="H956" s="219">
        <v>41480</v>
      </c>
      <c r="I956" s="90">
        <v>0</v>
      </c>
      <c r="J956" s="90">
        <f t="shared" si="28"/>
        <v>2824919.67</v>
      </c>
      <c r="K956" s="90" t="str">
        <f t="shared" si="29"/>
        <v>ATRASADO</v>
      </c>
    </row>
    <row r="957" spans="2:11">
      <c r="B957" s="82">
        <v>41511</v>
      </c>
      <c r="C957" s="16" t="s">
        <v>770</v>
      </c>
      <c r="D957" s="13" t="s">
        <v>203</v>
      </c>
      <c r="E957" s="19" t="s">
        <v>204</v>
      </c>
      <c r="F957" s="60">
        <v>215</v>
      </c>
      <c r="G957" s="32">
        <v>2835324.62</v>
      </c>
      <c r="H957" s="219">
        <v>41511</v>
      </c>
      <c r="I957" s="90">
        <v>0</v>
      </c>
      <c r="J957" s="90">
        <f t="shared" si="28"/>
        <v>2835324.62</v>
      </c>
      <c r="K957" s="90" t="str">
        <f t="shared" si="29"/>
        <v>ATRASADO</v>
      </c>
    </row>
    <row r="958" spans="2:11">
      <c r="B958" s="82">
        <v>41542</v>
      </c>
      <c r="C958" s="16" t="s">
        <v>771</v>
      </c>
      <c r="D958" s="13" t="s">
        <v>203</v>
      </c>
      <c r="E958" s="19" t="s">
        <v>204</v>
      </c>
      <c r="F958" s="60">
        <v>215</v>
      </c>
      <c r="G958" s="32">
        <v>2803226.45</v>
      </c>
      <c r="H958" s="219">
        <v>41542</v>
      </c>
      <c r="I958" s="90">
        <v>0</v>
      </c>
      <c r="J958" s="90">
        <f t="shared" si="28"/>
        <v>2803226.45</v>
      </c>
      <c r="K958" s="90" t="str">
        <f t="shared" si="29"/>
        <v>ATRASADO</v>
      </c>
    </row>
    <row r="959" spans="2:11">
      <c r="B959" s="82">
        <v>41572</v>
      </c>
      <c r="C959" s="16" t="s">
        <v>772</v>
      </c>
      <c r="D959" s="13" t="s">
        <v>203</v>
      </c>
      <c r="E959" s="19" t="s">
        <v>204</v>
      </c>
      <c r="F959" s="60">
        <v>215</v>
      </c>
      <c r="G959" s="32">
        <v>2822560.29</v>
      </c>
      <c r="H959" s="219">
        <v>41572</v>
      </c>
      <c r="I959" s="90">
        <v>0</v>
      </c>
      <c r="J959" s="90">
        <f t="shared" si="28"/>
        <v>2822560.29</v>
      </c>
      <c r="K959" s="90" t="str">
        <f t="shared" si="29"/>
        <v>ATRASADO</v>
      </c>
    </row>
    <row r="960" spans="2:11">
      <c r="B960" s="82">
        <v>41603</v>
      </c>
      <c r="C960" s="16" t="s">
        <v>773</v>
      </c>
      <c r="D960" s="13" t="s">
        <v>203</v>
      </c>
      <c r="E960" s="19" t="s">
        <v>204</v>
      </c>
      <c r="F960" s="60">
        <v>215</v>
      </c>
      <c r="G960" s="32">
        <v>2851741.11</v>
      </c>
      <c r="H960" s="219">
        <v>41603</v>
      </c>
      <c r="I960" s="90">
        <v>0</v>
      </c>
      <c r="J960" s="90">
        <f t="shared" si="28"/>
        <v>2851741.11</v>
      </c>
      <c r="K960" s="90" t="str">
        <f t="shared" si="29"/>
        <v>ATRASADO</v>
      </c>
    </row>
    <row r="961" spans="2:11">
      <c r="B961" s="82">
        <v>41633</v>
      </c>
      <c r="C961" s="16" t="s">
        <v>774</v>
      </c>
      <c r="D961" s="13" t="s">
        <v>203</v>
      </c>
      <c r="E961" s="19" t="s">
        <v>204</v>
      </c>
      <c r="F961" s="60">
        <v>215</v>
      </c>
      <c r="G961" s="32">
        <v>2959305.11</v>
      </c>
      <c r="H961" s="219">
        <v>41633</v>
      </c>
      <c r="I961" s="90">
        <v>0</v>
      </c>
      <c r="J961" s="90">
        <f t="shared" si="28"/>
        <v>2959305.11</v>
      </c>
      <c r="K961" s="90" t="str">
        <f t="shared" si="29"/>
        <v>ATRASADO</v>
      </c>
    </row>
    <row r="962" spans="2:11">
      <c r="B962" s="82">
        <v>41664</v>
      </c>
      <c r="C962" s="16" t="s">
        <v>775</v>
      </c>
      <c r="D962" s="13" t="s">
        <v>203</v>
      </c>
      <c r="E962" s="19" t="s">
        <v>204</v>
      </c>
      <c r="F962" s="60">
        <v>215</v>
      </c>
      <c r="G962" s="32">
        <v>2897925.7800000003</v>
      </c>
      <c r="H962" s="219">
        <v>41664</v>
      </c>
      <c r="I962" s="90">
        <v>0</v>
      </c>
      <c r="J962" s="90">
        <f t="shared" si="28"/>
        <v>2897925.7800000003</v>
      </c>
      <c r="K962" s="90" t="str">
        <f t="shared" si="29"/>
        <v>ATRASADO</v>
      </c>
    </row>
    <row r="963" spans="2:11">
      <c r="B963" s="82">
        <v>41695</v>
      </c>
      <c r="C963" s="16" t="s">
        <v>776</v>
      </c>
      <c r="D963" s="13" t="s">
        <v>203</v>
      </c>
      <c r="E963" s="19" t="s">
        <v>204</v>
      </c>
      <c r="F963" s="60">
        <v>215</v>
      </c>
      <c r="G963" s="32">
        <v>3066014.19</v>
      </c>
      <c r="H963" s="219">
        <v>41695</v>
      </c>
      <c r="I963" s="90">
        <v>0</v>
      </c>
      <c r="J963" s="90">
        <f t="shared" si="28"/>
        <v>3066014.19</v>
      </c>
      <c r="K963" s="90" t="str">
        <f t="shared" si="29"/>
        <v>ATRASADO</v>
      </c>
    </row>
    <row r="964" spans="2:11">
      <c r="B964" s="82">
        <v>41723</v>
      </c>
      <c r="C964" s="16" t="s">
        <v>777</v>
      </c>
      <c r="D964" s="13" t="s">
        <v>203</v>
      </c>
      <c r="E964" s="19" t="s">
        <v>204</v>
      </c>
      <c r="F964" s="60">
        <v>215</v>
      </c>
      <c r="G964" s="32">
        <v>3153444.96</v>
      </c>
      <c r="H964" s="219">
        <v>41723</v>
      </c>
      <c r="I964" s="90">
        <v>0</v>
      </c>
      <c r="J964" s="90">
        <f t="shared" si="28"/>
        <v>3153444.96</v>
      </c>
      <c r="K964" s="90" t="str">
        <f t="shared" si="29"/>
        <v>ATRASADO</v>
      </c>
    </row>
    <row r="965" spans="2:11">
      <c r="B965" s="82">
        <v>41754</v>
      </c>
      <c r="C965" s="16" t="s">
        <v>778</v>
      </c>
      <c r="D965" s="13" t="s">
        <v>203</v>
      </c>
      <c r="E965" s="19" t="s">
        <v>204</v>
      </c>
      <c r="F965" s="60">
        <v>215</v>
      </c>
      <c r="G965" s="32">
        <v>3147600.59</v>
      </c>
      <c r="H965" s="219">
        <v>41754</v>
      </c>
      <c r="I965" s="90">
        <v>0</v>
      </c>
      <c r="J965" s="90">
        <f t="shared" si="28"/>
        <v>3147600.59</v>
      </c>
      <c r="K965" s="90" t="str">
        <f t="shared" si="29"/>
        <v>ATRASADO</v>
      </c>
    </row>
    <row r="966" spans="2:11">
      <c r="B966" s="82">
        <v>41784</v>
      </c>
      <c r="C966" s="16" t="s">
        <v>779</v>
      </c>
      <c r="D966" s="13" t="s">
        <v>203</v>
      </c>
      <c r="E966" s="19" t="s">
        <v>204</v>
      </c>
      <c r="F966" s="60">
        <v>215</v>
      </c>
      <c r="G966" s="32">
        <v>3347319.48</v>
      </c>
      <c r="H966" s="219">
        <v>41784</v>
      </c>
      <c r="I966" s="90">
        <v>0</v>
      </c>
      <c r="J966" s="90">
        <f t="shared" si="28"/>
        <v>3347319.48</v>
      </c>
      <c r="K966" s="90" t="str">
        <f t="shared" si="29"/>
        <v>ATRASADO</v>
      </c>
    </row>
    <row r="967" spans="2:11">
      <c r="B967" s="82">
        <v>41815</v>
      </c>
      <c r="C967" s="16" t="s">
        <v>780</v>
      </c>
      <c r="D967" s="13" t="s">
        <v>203</v>
      </c>
      <c r="E967" s="19" t="s">
        <v>204</v>
      </c>
      <c r="F967" s="60">
        <v>215</v>
      </c>
      <c r="G967" s="32">
        <v>3345719.29</v>
      </c>
      <c r="H967" s="219">
        <v>41815</v>
      </c>
      <c r="I967" s="90">
        <v>0</v>
      </c>
      <c r="J967" s="90">
        <f t="shared" si="28"/>
        <v>3345719.29</v>
      </c>
      <c r="K967" s="90" t="str">
        <f t="shared" si="29"/>
        <v>ATRASADO</v>
      </c>
    </row>
    <row r="968" spans="2:11">
      <c r="B968" s="82">
        <v>41845</v>
      </c>
      <c r="C968" s="16" t="s">
        <v>781</v>
      </c>
      <c r="D968" s="13" t="s">
        <v>203</v>
      </c>
      <c r="E968" s="19" t="s">
        <v>204</v>
      </c>
      <c r="F968" s="60">
        <v>215</v>
      </c>
      <c r="G968" s="32">
        <v>3351096.61</v>
      </c>
      <c r="H968" s="219">
        <v>41845</v>
      </c>
      <c r="I968" s="90">
        <v>0</v>
      </c>
      <c r="J968" s="90">
        <f t="shared" si="28"/>
        <v>3351096.61</v>
      </c>
      <c r="K968" s="90" t="str">
        <f t="shared" si="29"/>
        <v>ATRASADO</v>
      </c>
    </row>
    <row r="969" spans="2:11">
      <c r="B969" s="82">
        <v>41876</v>
      </c>
      <c r="C969" s="16" t="s">
        <v>782</v>
      </c>
      <c r="D969" s="13" t="s">
        <v>203</v>
      </c>
      <c r="E969" s="19" t="s">
        <v>204</v>
      </c>
      <c r="F969" s="60">
        <v>215</v>
      </c>
      <c r="G969" s="32">
        <v>3376362.58</v>
      </c>
      <c r="H969" s="219">
        <v>41876</v>
      </c>
      <c r="I969" s="90">
        <v>0</v>
      </c>
      <c r="J969" s="90">
        <f t="shared" si="28"/>
        <v>3376362.58</v>
      </c>
      <c r="K969" s="90" t="str">
        <f t="shared" si="29"/>
        <v>ATRASADO</v>
      </c>
    </row>
    <row r="970" spans="2:11">
      <c r="B970" s="82">
        <v>41907</v>
      </c>
      <c r="C970" s="16" t="s">
        <v>783</v>
      </c>
      <c r="D970" s="13" t="s">
        <v>203</v>
      </c>
      <c r="E970" s="19" t="s">
        <v>204</v>
      </c>
      <c r="F970" s="60">
        <v>215</v>
      </c>
      <c r="G970" s="32">
        <v>3419714.82</v>
      </c>
      <c r="H970" s="219">
        <v>41907</v>
      </c>
      <c r="I970" s="90">
        <v>0</v>
      </c>
      <c r="J970" s="90">
        <f t="shared" si="28"/>
        <v>3419714.82</v>
      </c>
      <c r="K970" s="90" t="str">
        <f t="shared" si="29"/>
        <v>ATRASADO</v>
      </c>
    </row>
    <row r="971" spans="2:11">
      <c r="B971" s="82">
        <v>41937</v>
      </c>
      <c r="C971" s="16" t="s">
        <v>784</v>
      </c>
      <c r="D971" s="13" t="s">
        <v>203</v>
      </c>
      <c r="E971" s="19" t="s">
        <v>204</v>
      </c>
      <c r="F971" s="60">
        <v>215</v>
      </c>
      <c r="G971" s="32">
        <v>3374212.97</v>
      </c>
      <c r="H971" s="219">
        <v>41937</v>
      </c>
      <c r="I971" s="90">
        <v>0</v>
      </c>
      <c r="J971" s="90">
        <f t="shared" si="28"/>
        <v>3374212.97</v>
      </c>
      <c r="K971" s="90" t="str">
        <f t="shared" si="29"/>
        <v>ATRASADO</v>
      </c>
    </row>
    <row r="972" spans="2:11">
      <c r="B972" s="82">
        <v>41968</v>
      </c>
      <c r="C972" s="16" t="s">
        <v>785</v>
      </c>
      <c r="D972" s="13" t="s">
        <v>203</v>
      </c>
      <c r="E972" s="19" t="s">
        <v>204</v>
      </c>
      <c r="F972" s="60">
        <v>215</v>
      </c>
      <c r="G972" s="32">
        <v>3468399.62</v>
      </c>
      <c r="H972" s="219">
        <v>41968</v>
      </c>
      <c r="I972" s="90">
        <v>0</v>
      </c>
      <c r="J972" s="90">
        <f t="shared" si="28"/>
        <v>3468399.62</v>
      </c>
      <c r="K972" s="90" t="str">
        <f t="shared" si="29"/>
        <v>ATRASADO</v>
      </c>
    </row>
    <row r="973" spans="2:11">
      <c r="B973" s="82">
        <v>41998</v>
      </c>
      <c r="C973" s="16" t="s">
        <v>786</v>
      </c>
      <c r="D973" s="13" t="s">
        <v>203</v>
      </c>
      <c r="E973" s="19" t="s">
        <v>204</v>
      </c>
      <c r="F973" s="60">
        <v>215</v>
      </c>
      <c r="G973" s="32">
        <v>3462093.09</v>
      </c>
      <c r="H973" s="219">
        <v>41998</v>
      </c>
      <c r="I973" s="90">
        <v>0</v>
      </c>
      <c r="J973" s="90">
        <f t="shared" si="28"/>
        <v>3462093.09</v>
      </c>
      <c r="K973" s="90" t="str">
        <f t="shared" si="29"/>
        <v>ATRASADO</v>
      </c>
    </row>
    <row r="974" spans="2:11">
      <c r="B974" s="82">
        <v>42029</v>
      </c>
      <c r="C974" s="16" t="s">
        <v>787</v>
      </c>
      <c r="D974" s="13" t="s">
        <v>203</v>
      </c>
      <c r="E974" s="19" t="s">
        <v>204</v>
      </c>
      <c r="F974" s="60">
        <v>215</v>
      </c>
      <c r="G974" s="32">
        <v>3483766.82</v>
      </c>
      <c r="H974" s="219">
        <v>42029</v>
      </c>
      <c r="I974" s="90">
        <v>0</v>
      </c>
      <c r="J974" s="90">
        <f t="shared" si="28"/>
        <v>3483766.82</v>
      </c>
      <c r="K974" s="90" t="str">
        <f t="shared" si="29"/>
        <v>ATRASADO</v>
      </c>
    </row>
    <row r="975" spans="2:11">
      <c r="B975" s="82">
        <v>42060</v>
      </c>
      <c r="C975" s="16" t="s">
        <v>788</v>
      </c>
      <c r="D975" s="13" t="s">
        <v>203</v>
      </c>
      <c r="E975" s="19" t="s">
        <v>204</v>
      </c>
      <c r="F975" s="60">
        <v>215</v>
      </c>
      <c r="G975" s="32">
        <v>3502142.78</v>
      </c>
      <c r="H975" s="219">
        <v>42060</v>
      </c>
      <c r="I975" s="90">
        <v>0</v>
      </c>
      <c r="J975" s="90">
        <f t="shared" si="28"/>
        <v>3502142.78</v>
      </c>
      <c r="K975" s="90" t="str">
        <f t="shared" si="29"/>
        <v>ATRASADO</v>
      </c>
    </row>
    <row r="976" spans="2:11">
      <c r="B976" s="82">
        <v>42088</v>
      </c>
      <c r="C976" s="16" t="s">
        <v>789</v>
      </c>
      <c r="D976" s="13" t="s">
        <v>203</v>
      </c>
      <c r="E976" s="19" t="s">
        <v>204</v>
      </c>
      <c r="F976" s="60">
        <v>215</v>
      </c>
      <c r="G976" s="32">
        <v>3503339.18</v>
      </c>
      <c r="H976" s="219">
        <v>42088</v>
      </c>
      <c r="I976" s="90">
        <v>0</v>
      </c>
      <c r="J976" s="90">
        <f t="shared" ref="J976:J1039" si="30">IF(G976&gt;0,G976,"")</f>
        <v>3503339.18</v>
      </c>
      <c r="K976" s="90" t="str">
        <f t="shared" si="29"/>
        <v>ATRASADO</v>
      </c>
    </row>
    <row r="977" spans="2:11">
      <c r="B977" s="82">
        <v>42119</v>
      </c>
      <c r="C977" s="16" t="s">
        <v>790</v>
      </c>
      <c r="D977" s="13" t="s">
        <v>203</v>
      </c>
      <c r="E977" s="19" t="s">
        <v>204</v>
      </c>
      <c r="F977" s="60">
        <v>215</v>
      </c>
      <c r="G977" s="32">
        <v>3565044.9499999997</v>
      </c>
      <c r="H977" s="219">
        <v>42119</v>
      </c>
      <c r="I977" s="90">
        <v>0</v>
      </c>
      <c r="J977" s="90">
        <f t="shared" si="30"/>
        <v>3565044.9499999997</v>
      </c>
      <c r="K977" s="90" t="str">
        <f t="shared" si="29"/>
        <v>ATRASADO</v>
      </c>
    </row>
    <row r="978" spans="2:11">
      <c r="B978" s="82">
        <v>42149</v>
      </c>
      <c r="C978" s="16" t="s">
        <v>791</v>
      </c>
      <c r="D978" s="13" t="s">
        <v>203</v>
      </c>
      <c r="E978" s="19" t="s">
        <v>204</v>
      </c>
      <c r="F978" s="60">
        <v>215</v>
      </c>
      <c r="G978" s="32">
        <v>3646912.76</v>
      </c>
      <c r="H978" s="219">
        <v>42149</v>
      </c>
      <c r="I978" s="90">
        <v>0</v>
      </c>
      <c r="J978" s="90">
        <f t="shared" si="30"/>
        <v>3646912.76</v>
      </c>
      <c r="K978" s="90" t="str">
        <f t="shared" si="29"/>
        <v>ATRASADO</v>
      </c>
    </row>
    <row r="979" spans="2:11">
      <c r="B979" s="82">
        <v>42180</v>
      </c>
      <c r="C979" s="16" t="s">
        <v>792</v>
      </c>
      <c r="D979" s="13" t="s">
        <v>203</v>
      </c>
      <c r="E979" s="19" t="s">
        <v>204</v>
      </c>
      <c r="F979" s="60">
        <v>215</v>
      </c>
      <c r="G979" s="32">
        <v>3641848</v>
      </c>
      <c r="H979" s="219">
        <v>42180</v>
      </c>
      <c r="I979" s="90">
        <v>0</v>
      </c>
      <c r="J979" s="90">
        <f t="shared" si="30"/>
        <v>3641848</v>
      </c>
      <c r="K979" s="90" t="str">
        <f t="shared" si="29"/>
        <v>ATRASADO</v>
      </c>
    </row>
    <row r="980" spans="2:11">
      <c r="B980" s="82">
        <v>42210</v>
      </c>
      <c r="C980" s="16" t="s">
        <v>793</v>
      </c>
      <c r="D980" s="13" t="s">
        <v>203</v>
      </c>
      <c r="E980" s="19" t="s">
        <v>204</v>
      </c>
      <c r="F980" s="60">
        <v>215</v>
      </c>
      <c r="G980" s="32">
        <v>3686810.4499999997</v>
      </c>
      <c r="H980" s="219">
        <v>42210</v>
      </c>
      <c r="I980" s="90">
        <v>0</v>
      </c>
      <c r="J980" s="90">
        <f t="shared" si="30"/>
        <v>3686810.4499999997</v>
      </c>
      <c r="K980" s="90" t="str">
        <f t="shared" si="29"/>
        <v>ATRASADO</v>
      </c>
    </row>
    <row r="981" spans="2:11">
      <c r="B981" s="82">
        <v>42241</v>
      </c>
      <c r="C981" s="16" t="s">
        <v>794</v>
      </c>
      <c r="D981" s="13" t="s">
        <v>203</v>
      </c>
      <c r="E981" s="19" t="s">
        <v>204</v>
      </c>
      <c r="F981" s="60">
        <v>215</v>
      </c>
      <c r="G981" s="32">
        <v>3710735.8000000003</v>
      </c>
      <c r="H981" s="219">
        <v>42241</v>
      </c>
      <c r="I981" s="90">
        <v>0</v>
      </c>
      <c r="J981" s="90">
        <f t="shared" si="30"/>
        <v>3710735.8000000003</v>
      </c>
      <c r="K981" s="90" t="str">
        <f t="shared" si="29"/>
        <v>ATRASADO</v>
      </c>
    </row>
    <row r="982" spans="2:11">
      <c r="B982" s="82">
        <v>42272</v>
      </c>
      <c r="C982" s="16" t="s">
        <v>795</v>
      </c>
      <c r="D982" s="13" t="s">
        <v>203</v>
      </c>
      <c r="E982" s="19" t="s">
        <v>204</v>
      </c>
      <c r="F982" s="60">
        <v>215</v>
      </c>
      <c r="G982" s="32">
        <v>3745595.82</v>
      </c>
      <c r="H982" s="219">
        <v>42272</v>
      </c>
      <c r="I982" s="90">
        <v>0</v>
      </c>
      <c r="J982" s="90">
        <f t="shared" si="30"/>
        <v>3745595.82</v>
      </c>
      <c r="K982" s="90" t="str">
        <f t="shared" si="29"/>
        <v>ATRASADO</v>
      </c>
    </row>
    <row r="983" spans="2:11">
      <c r="B983" s="82">
        <v>42302</v>
      </c>
      <c r="C983" s="16" t="s">
        <v>796</v>
      </c>
      <c r="D983" s="13" t="s">
        <v>203</v>
      </c>
      <c r="E983" s="19" t="s">
        <v>204</v>
      </c>
      <c r="F983" s="60">
        <v>215</v>
      </c>
      <c r="G983" s="32">
        <v>3780421.0100000002</v>
      </c>
      <c r="H983" s="219">
        <v>42302</v>
      </c>
      <c r="I983" s="90">
        <v>0</v>
      </c>
      <c r="J983" s="90">
        <f t="shared" si="30"/>
        <v>3780421.0100000002</v>
      </c>
      <c r="K983" s="90" t="str">
        <f t="shared" si="29"/>
        <v>ATRASADO</v>
      </c>
    </row>
    <row r="984" spans="2:11">
      <c r="B984" s="82">
        <v>42333</v>
      </c>
      <c r="C984" s="16" t="s">
        <v>797</v>
      </c>
      <c r="D984" s="13" t="s">
        <v>203</v>
      </c>
      <c r="E984" s="19" t="s">
        <v>204</v>
      </c>
      <c r="F984" s="60">
        <v>215</v>
      </c>
      <c r="G984" s="32">
        <v>3748760.2199999997</v>
      </c>
      <c r="H984" s="219">
        <v>42333</v>
      </c>
      <c r="I984" s="90">
        <v>0</v>
      </c>
      <c r="J984" s="90">
        <f t="shared" si="30"/>
        <v>3748760.2199999997</v>
      </c>
      <c r="K984" s="90" t="str">
        <f t="shared" si="29"/>
        <v>ATRASADO</v>
      </c>
    </row>
    <row r="985" spans="2:11">
      <c r="B985" s="82">
        <v>42363</v>
      </c>
      <c r="C985" s="16" t="s">
        <v>798</v>
      </c>
      <c r="D985" s="13" t="s">
        <v>203</v>
      </c>
      <c r="E985" s="19" t="s">
        <v>204</v>
      </c>
      <c r="F985" s="60">
        <v>215</v>
      </c>
      <c r="G985" s="32">
        <v>3813397.72</v>
      </c>
      <c r="H985" s="219">
        <v>42363</v>
      </c>
      <c r="I985" s="90">
        <v>0</v>
      </c>
      <c r="J985" s="90">
        <f t="shared" si="30"/>
        <v>3813397.72</v>
      </c>
      <c r="K985" s="90" t="str">
        <f t="shared" si="29"/>
        <v>ATRASADO</v>
      </c>
    </row>
    <row r="986" spans="2:11">
      <c r="B986" s="82">
        <v>42394</v>
      </c>
      <c r="C986" s="16" t="s">
        <v>799</v>
      </c>
      <c r="D986" s="13" t="s">
        <v>203</v>
      </c>
      <c r="E986" s="19" t="s">
        <v>204</v>
      </c>
      <c r="F986" s="60">
        <v>215</v>
      </c>
      <c r="G986" s="32">
        <v>3855993.93</v>
      </c>
      <c r="H986" s="219">
        <v>42394</v>
      </c>
      <c r="I986" s="90">
        <v>0</v>
      </c>
      <c r="J986" s="90">
        <f t="shared" si="30"/>
        <v>3855993.93</v>
      </c>
      <c r="K986" s="90" t="str">
        <f t="shared" si="29"/>
        <v>ATRASADO</v>
      </c>
    </row>
    <row r="987" spans="2:11">
      <c r="B987" s="82">
        <v>42425</v>
      </c>
      <c r="C987" s="16" t="s">
        <v>800</v>
      </c>
      <c r="D987" s="13" t="s">
        <v>203</v>
      </c>
      <c r="E987" s="19" t="s">
        <v>204</v>
      </c>
      <c r="F987" s="60">
        <v>215</v>
      </c>
      <c r="G987" s="32">
        <v>3916550.42</v>
      </c>
      <c r="H987" s="219">
        <v>42425</v>
      </c>
      <c r="I987" s="90">
        <v>0</v>
      </c>
      <c r="J987" s="90">
        <f t="shared" si="30"/>
        <v>3916550.42</v>
      </c>
      <c r="K987" s="90" t="str">
        <f t="shared" si="29"/>
        <v>ATRASADO</v>
      </c>
    </row>
    <row r="988" spans="2:11">
      <c r="B988" s="82">
        <v>42454</v>
      </c>
      <c r="C988" s="16" t="s">
        <v>801</v>
      </c>
      <c r="D988" s="13" t="s">
        <v>203</v>
      </c>
      <c r="E988" s="19" t="s">
        <v>204</v>
      </c>
      <c r="F988" s="60">
        <v>215</v>
      </c>
      <c r="G988" s="32">
        <v>3968135.17</v>
      </c>
      <c r="H988" s="219">
        <v>42454</v>
      </c>
      <c r="I988" s="90">
        <v>0</v>
      </c>
      <c r="J988" s="90">
        <f t="shared" si="30"/>
        <v>3968135.17</v>
      </c>
      <c r="K988" s="90" t="str">
        <f t="shared" si="29"/>
        <v>ATRASADO</v>
      </c>
    </row>
    <row r="989" spans="2:11">
      <c r="B989" s="82">
        <v>42485</v>
      </c>
      <c r="C989" s="16" t="s">
        <v>802</v>
      </c>
      <c r="D989" s="13" t="s">
        <v>203</v>
      </c>
      <c r="E989" s="19" t="s">
        <v>204</v>
      </c>
      <c r="F989" s="60">
        <v>215</v>
      </c>
      <c r="G989" s="32">
        <v>5461587.1999999993</v>
      </c>
      <c r="H989" s="219">
        <v>42485</v>
      </c>
      <c r="I989" s="90">
        <v>0</v>
      </c>
      <c r="J989" s="90">
        <f t="shared" si="30"/>
        <v>5461587.1999999993</v>
      </c>
      <c r="K989" s="90" t="str">
        <f t="shared" si="29"/>
        <v>ATRASADO</v>
      </c>
    </row>
    <row r="990" spans="2:11">
      <c r="B990" s="82">
        <v>42515</v>
      </c>
      <c r="C990" s="16" t="s">
        <v>803</v>
      </c>
      <c r="D990" s="13" t="s">
        <v>203</v>
      </c>
      <c r="E990" s="19" t="s">
        <v>204</v>
      </c>
      <c r="F990" s="60">
        <v>215</v>
      </c>
      <c r="G990" s="32">
        <f>5437858.6-2489489.1</f>
        <v>2948369.4999999995</v>
      </c>
      <c r="H990" s="219">
        <v>42515</v>
      </c>
      <c r="I990" s="90">
        <v>0</v>
      </c>
      <c r="J990" s="90">
        <f t="shared" si="30"/>
        <v>2948369.4999999995</v>
      </c>
      <c r="K990" s="90" t="str">
        <f t="shared" si="29"/>
        <v>ATRASADO</v>
      </c>
    </row>
    <row r="991" spans="2:11">
      <c r="B991" s="82">
        <v>42546</v>
      </c>
      <c r="C991" s="16" t="s">
        <v>804</v>
      </c>
      <c r="D991" s="13" t="s">
        <v>203</v>
      </c>
      <c r="E991" s="19" t="s">
        <v>204</v>
      </c>
      <c r="F991" s="60">
        <v>215</v>
      </c>
      <c r="G991" s="32">
        <v>3909806.43</v>
      </c>
      <c r="H991" s="219">
        <v>42546</v>
      </c>
      <c r="I991" s="90">
        <v>0</v>
      </c>
      <c r="J991" s="90">
        <f t="shared" si="30"/>
        <v>3909806.43</v>
      </c>
      <c r="K991" s="90" t="str">
        <f t="shared" si="29"/>
        <v>ATRASADO</v>
      </c>
    </row>
    <row r="992" spans="2:11">
      <c r="B992" s="82">
        <v>42576</v>
      </c>
      <c r="C992" s="16" t="s">
        <v>805</v>
      </c>
      <c r="D992" s="13" t="s">
        <v>203</v>
      </c>
      <c r="E992" s="19" t="s">
        <v>204</v>
      </c>
      <c r="F992" s="60">
        <v>215</v>
      </c>
      <c r="G992" s="32">
        <v>3907513.33</v>
      </c>
      <c r="H992" s="219">
        <v>42576</v>
      </c>
      <c r="I992" s="90">
        <v>0</v>
      </c>
      <c r="J992" s="90">
        <f t="shared" si="30"/>
        <v>3907513.33</v>
      </c>
      <c r="K992" s="90" t="str">
        <f t="shared" si="29"/>
        <v>ATRASADO</v>
      </c>
    </row>
    <row r="993" spans="2:11">
      <c r="B993" s="82">
        <v>42607</v>
      </c>
      <c r="C993" s="16" t="s">
        <v>806</v>
      </c>
      <c r="D993" s="13" t="s">
        <v>203</v>
      </c>
      <c r="E993" s="19" t="s">
        <v>204</v>
      </c>
      <c r="F993" s="60">
        <v>215</v>
      </c>
      <c r="G993" s="32">
        <v>3905868.28</v>
      </c>
      <c r="H993" s="219">
        <v>42607</v>
      </c>
      <c r="I993" s="90">
        <v>0</v>
      </c>
      <c r="J993" s="90">
        <f t="shared" si="30"/>
        <v>3905868.28</v>
      </c>
      <c r="K993" s="90" t="str">
        <f t="shared" si="29"/>
        <v>ATRASADO</v>
      </c>
    </row>
    <row r="994" spans="2:11">
      <c r="B994" s="82">
        <v>42638</v>
      </c>
      <c r="C994" s="16" t="s">
        <v>807</v>
      </c>
      <c r="D994" s="13" t="s">
        <v>203</v>
      </c>
      <c r="E994" s="19" t="s">
        <v>204</v>
      </c>
      <c r="F994" s="60">
        <v>215</v>
      </c>
      <c r="G994" s="32">
        <v>3907782.52</v>
      </c>
      <c r="H994" s="219">
        <v>42638</v>
      </c>
      <c r="I994" s="90">
        <v>0</v>
      </c>
      <c r="J994" s="90">
        <f t="shared" si="30"/>
        <v>3907782.52</v>
      </c>
      <c r="K994" s="90" t="str">
        <f t="shared" si="29"/>
        <v>ATRASADO</v>
      </c>
    </row>
    <row r="995" spans="2:11">
      <c r="B995" s="82">
        <v>42668</v>
      </c>
      <c r="C995" s="16" t="s">
        <v>808</v>
      </c>
      <c r="D995" s="13" t="s">
        <v>203</v>
      </c>
      <c r="E995" s="19" t="s">
        <v>204</v>
      </c>
      <c r="F995" s="60">
        <v>215</v>
      </c>
      <c r="G995" s="32">
        <v>3884492.84</v>
      </c>
      <c r="H995" s="219">
        <v>42668</v>
      </c>
      <c r="I995" s="90">
        <v>0</v>
      </c>
      <c r="J995" s="90">
        <f t="shared" si="30"/>
        <v>3884492.84</v>
      </c>
      <c r="K995" s="90" t="str">
        <f t="shared" si="29"/>
        <v>ATRASADO</v>
      </c>
    </row>
    <row r="996" spans="2:11">
      <c r="B996" s="82">
        <v>42699</v>
      </c>
      <c r="C996" s="16" t="s">
        <v>809</v>
      </c>
      <c r="D996" s="13" t="s">
        <v>203</v>
      </c>
      <c r="E996" s="19" t="s">
        <v>204</v>
      </c>
      <c r="F996" s="60">
        <v>215</v>
      </c>
      <c r="G996" s="32">
        <v>3866331.49</v>
      </c>
      <c r="H996" s="219">
        <v>42699</v>
      </c>
      <c r="I996" s="90">
        <v>0</v>
      </c>
      <c r="J996" s="90">
        <f t="shared" si="30"/>
        <v>3866331.49</v>
      </c>
      <c r="K996" s="90" t="str">
        <f t="shared" si="29"/>
        <v>ATRASADO</v>
      </c>
    </row>
    <row r="997" spans="2:11">
      <c r="B997" s="82">
        <v>42729</v>
      </c>
      <c r="C997" s="16" t="s">
        <v>810</v>
      </c>
      <c r="D997" s="13" t="s">
        <v>203</v>
      </c>
      <c r="E997" s="19" t="s">
        <v>204</v>
      </c>
      <c r="F997" s="60">
        <v>215</v>
      </c>
      <c r="G997" s="32">
        <v>3864144.32</v>
      </c>
      <c r="H997" s="219">
        <v>42729</v>
      </c>
      <c r="I997" s="90">
        <v>0</v>
      </c>
      <c r="J997" s="90">
        <f t="shared" si="30"/>
        <v>3864144.32</v>
      </c>
      <c r="K997" s="90" t="str">
        <f t="shared" si="29"/>
        <v>ATRASADO</v>
      </c>
    </row>
    <row r="998" spans="2:11">
      <c r="B998" s="82">
        <v>42760</v>
      </c>
      <c r="C998" s="16" t="s">
        <v>811</v>
      </c>
      <c r="D998" s="13" t="s">
        <v>203</v>
      </c>
      <c r="E998" s="19" t="s">
        <v>204</v>
      </c>
      <c r="F998" s="60">
        <v>215</v>
      </c>
      <c r="G998" s="32">
        <v>3855162.62</v>
      </c>
      <c r="H998" s="219">
        <v>42760</v>
      </c>
      <c r="I998" s="90">
        <v>0</v>
      </c>
      <c r="J998" s="90">
        <f t="shared" si="30"/>
        <v>3855162.62</v>
      </c>
      <c r="K998" s="90" t="str">
        <f t="shared" si="29"/>
        <v>ATRASADO</v>
      </c>
    </row>
    <row r="999" spans="2:11">
      <c r="B999" s="82">
        <v>42791</v>
      </c>
      <c r="C999" s="16" t="s">
        <v>812</v>
      </c>
      <c r="D999" s="13" t="s">
        <v>203</v>
      </c>
      <c r="E999" s="19" t="s">
        <v>204</v>
      </c>
      <c r="F999" s="60">
        <v>215</v>
      </c>
      <c r="G999" s="32">
        <v>3850554.44</v>
      </c>
      <c r="H999" s="219">
        <v>42791</v>
      </c>
      <c r="I999" s="90">
        <v>0</v>
      </c>
      <c r="J999" s="90">
        <f t="shared" si="30"/>
        <v>3850554.44</v>
      </c>
      <c r="K999" s="90" t="str">
        <f t="shared" si="29"/>
        <v>ATRASADO</v>
      </c>
    </row>
    <row r="1000" spans="2:11">
      <c r="B1000" s="82">
        <v>42819</v>
      </c>
      <c r="C1000" s="16" t="s">
        <v>813</v>
      </c>
      <c r="D1000" s="13" t="s">
        <v>203</v>
      </c>
      <c r="E1000" s="19" t="s">
        <v>204</v>
      </c>
      <c r="F1000" s="60">
        <v>215</v>
      </c>
      <c r="G1000" s="32">
        <v>3897318.73</v>
      </c>
      <c r="H1000" s="219">
        <v>42819</v>
      </c>
      <c r="I1000" s="90">
        <v>0</v>
      </c>
      <c r="J1000" s="90">
        <f t="shared" si="30"/>
        <v>3897318.73</v>
      </c>
      <c r="K1000" s="90" t="str">
        <f t="shared" si="29"/>
        <v>ATRASADO</v>
      </c>
    </row>
    <row r="1001" spans="2:11">
      <c r="B1001" s="82">
        <v>42850</v>
      </c>
      <c r="C1001" s="16" t="s">
        <v>814</v>
      </c>
      <c r="D1001" s="13" t="s">
        <v>203</v>
      </c>
      <c r="E1001" s="19" t="s">
        <v>204</v>
      </c>
      <c r="F1001" s="60">
        <v>215</v>
      </c>
      <c r="G1001" s="32">
        <v>3880690.21</v>
      </c>
      <c r="H1001" s="219">
        <v>42850</v>
      </c>
      <c r="I1001" s="90">
        <v>0</v>
      </c>
      <c r="J1001" s="90">
        <f t="shared" si="30"/>
        <v>3880690.21</v>
      </c>
      <c r="K1001" s="90" t="str">
        <f t="shared" si="29"/>
        <v>ATRASADO</v>
      </c>
    </row>
    <row r="1002" spans="2:11">
      <c r="B1002" s="82">
        <v>42880</v>
      </c>
      <c r="C1002" s="16" t="s">
        <v>815</v>
      </c>
      <c r="D1002" s="13" t="s">
        <v>203</v>
      </c>
      <c r="E1002" s="19" t="s">
        <v>204</v>
      </c>
      <c r="F1002" s="60">
        <v>215</v>
      </c>
      <c r="G1002" s="32">
        <v>3931590</v>
      </c>
      <c r="H1002" s="219">
        <v>42880</v>
      </c>
      <c r="I1002" s="90">
        <v>0</v>
      </c>
      <c r="J1002" s="90">
        <f t="shared" si="30"/>
        <v>3931590</v>
      </c>
      <c r="K1002" s="90" t="str">
        <f t="shared" si="29"/>
        <v>ATRASADO</v>
      </c>
    </row>
    <row r="1003" spans="2:11">
      <c r="B1003" s="82">
        <v>42911</v>
      </c>
      <c r="C1003" s="16" t="s">
        <v>816</v>
      </c>
      <c r="D1003" s="13" t="s">
        <v>203</v>
      </c>
      <c r="E1003" s="19" t="s">
        <v>204</v>
      </c>
      <c r="F1003" s="60">
        <v>215</v>
      </c>
      <c r="G1003" s="32">
        <v>3935727.55</v>
      </c>
      <c r="H1003" s="219">
        <v>42911</v>
      </c>
      <c r="I1003" s="90">
        <v>0</v>
      </c>
      <c r="J1003" s="90">
        <f t="shared" si="30"/>
        <v>3935727.55</v>
      </c>
      <c r="K1003" s="90" t="str">
        <f t="shared" si="29"/>
        <v>ATRASADO</v>
      </c>
    </row>
    <row r="1004" spans="2:11">
      <c r="B1004" s="82">
        <v>42941</v>
      </c>
      <c r="C1004" s="16" t="s">
        <v>816</v>
      </c>
      <c r="D1004" s="13" t="s">
        <v>203</v>
      </c>
      <c r="E1004" s="19" t="s">
        <v>204</v>
      </c>
      <c r="F1004" s="60">
        <v>215</v>
      </c>
      <c r="G1004" s="32">
        <v>4038730.11</v>
      </c>
      <c r="H1004" s="219">
        <v>42941</v>
      </c>
      <c r="I1004" s="90">
        <v>0</v>
      </c>
      <c r="J1004" s="90">
        <f t="shared" si="30"/>
        <v>4038730.11</v>
      </c>
      <c r="K1004" s="90" t="str">
        <f t="shared" ref="K1004:K1067" si="31">IF(J1004&gt;0,"ATRASADO","")</f>
        <v>ATRASADO</v>
      </c>
    </row>
    <row r="1005" spans="2:11">
      <c r="B1005" s="82">
        <v>42972</v>
      </c>
      <c r="C1005" s="16" t="s">
        <v>817</v>
      </c>
      <c r="D1005" s="13" t="s">
        <v>203</v>
      </c>
      <c r="E1005" s="19" t="s">
        <v>204</v>
      </c>
      <c r="F1005" s="60">
        <v>215</v>
      </c>
      <c r="G1005" s="32">
        <v>3929321.82</v>
      </c>
      <c r="H1005" s="219">
        <v>42972</v>
      </c>
      <c r="I1005" s="90">
        <v>0</v>
      </c>
      <c r="J1005" s="90">
        <f t="shared" si="30"/>
        <v>3929321.82</v>
      </c>
      <c r="K1005" s="90" t="str">
        <f t="shared" si="31"/>
        <v>ATRASADO</v>
      </c>
    </row>
    <row r="1006" spans="2:11">
      <c r="B1006" s="82">
        <v>43003</v>
      </c>
      <c r="C1006" s="16" t="s">
        <v>818</v>
      </c>
      <c r="D1006" s="13" t="s">
        <v>203</v>
      </c>
      <c r="E1006" s="19" t="s">
        <v>204</v>
      </c>
      <c r="F1006" s="60">
        <v>215</v>
      </c>
      <c r="G1006" s="32">
        <v>3938294.82</v>
      </c>
      <c r="H1006" s="219">
        <v>43003</v>
      </c>
      <c r="I1006" s="90">
        <v>0</v>
      </c>
      <c r="J1006" s="90">
        <f t="shared" si="30"/>
        <v>3938294.82</v>
      </c>
      <c r="K1006" s="90" t="str">
        <f t="shared" si="31"/>
        <v>ATRASADO</v>
      </c>
    </row>
    <row r="1007" spans="2:11">
      <c r="B1007" s="82">
        <v>43033</v>
      </c>
      <c r="C1007" s="16" t="s">
        <v>819</v>
      </c>
      <c r="D1007" s="13" t="s">
        <v>203</v>
      </c>
      <c r="E1007" s="19" t="s">
        <v>204</v>
      </c>
      <c r="F1007" s="60">
        <v>215</v>
      </c>
      <c r="G1007" s="32">
        <v>3976656.38</v>
      </c>
      <c r="H1007" s="219">
        <v>43033</v>
      </c>
      <c r="I1007" s="90">
        <v>0</v>
      </c>
      <c r="J1007" s="90">
        <f t="shared" si="30"/>
        <v>3976656.38</v>
      </c>
      <c r="K1007" s="90" t="str">
        <f t="shared" si="31"/>
        <v>ATRASADO</v>
      </c>
    </row>
    <row r="1008" spans="2:11">
      <c r="B1008" s="82">
        <v>43064</v>
      </c>
      <c r="C1008" s="16" t="s">
        <v>820</v>
      </c>
      <c r="D1008" s="13" t="s">
        <v>203</v>
      </c>
      <c r="E1008" s="19" t="s">
        <v>204</v>
      </c>
      <c r="F1008" s="60">
        <v>215</v>
      </c>
      <c r="G1008" s="32">
        <v>3969129.03</v>
      </c>
      <c r="H1008" s="219">
        <v>43064</v>
      </c>
      <c r="I1008" s="90">
        <v>0</v>
      </c>
      <c r="J1008" s="90">
        <f t="shared" si="30"/>
        <v>3969129.03</v>
      </c>
      <c r="K1008" s="90" t="str">
        <f t="shared" si="31"/>
        <v>ATRASADO</v>
      </c>
    </row>
    <row r="1009" spans="2:11">
      <c r="B1009" s="82">
        <v>43094</v>
      </c>
      <c r="C1009" s="16" t="s">
        <v>821</v>
      </c>
      <c r="D1009" s="13" t="s">
        <v>203</v>
      </c>
      <c r="E1009" s="19" t="s">
        <v>204</v>
      </c>
      <c r="F1009" s="60">
        <v>215</v>
      </c>
      <c r="G1009" s="32">
        <v>3959134.1</v>
      </c>
      <c r="H1009" s="219">
        <v>43094</v>
      </c>
      <c r="I1009" s="90">
        <v>0</v>
      </c>
      <c r="J1009" s="90">
        <f t="shared" si="30"/>
        <v>3959134.1</v>
      </c>
      <c r="K1009" s="90" t="str">
        <f t="shared" si="31"/>
        <v>ATRASADO</v>
      </c>
    </row>
    <row r="1010" spans="2:11">
      <c r="B1010" s="82">
        <v>43125</v>
      </c>
      <c r="C1010" s="16" t="s">
        <v>822</v>
      </c>
      <c r="D1010" s="13" t="s">
        <v>203</v>
      </c>
      <c r="E1010" s="19" t="s">
        <v>204</v>
      </c>
      <c r="F1010" s="60">
        <v>215</v>
      </c>
      <c r="G1010" s="32">
        <v>4025273.42</v>
      </c>
      <c r="H1010" s="219">
        <v>43125</v>
      </c>
      <c r="I1010" s="90">
        <v>0</v>
      </c>
      <c r="J1010" s="90">
        <f t="shared" si="30"/>
        <v>4025273.42</v>
      </c>
      <c r="K1010" s="90" t="str">
        <f t="shared" si="31"/>
        <v>ATRASADO</v>
      </c>
    </row>
    <row r="1011" spans="2:11">
      <c r="B1011" s="82">
        <v>43156</v>
      </c>
      <c r="C1011" s="16" t="s">
        <v>823</v>
      </c>
      <c r="D1011" s="13" t="s">
        <v>203</v>
      </c>
      <c r="E1011" s="19" t="s">
        <v>204</v>
      </c>
      <c r="F1011" s="60">
        <v>215</v>
      </c>
      <c r="G1011" s="32">
        <v>4047031.44</v>
      </c>
      <c r="H1011" s="219">
        <v>43156</v>
      </c>
      <c r="I1011" s="90">
        <v>0</v>
      </c>
      <c r="J1011" s="90">
        <f t="shared" si="30"/>
        <v>4047031.44</v>
      </c>
      <c r="K1011" s="90" t="str">
        <f t="shared" si="31"/>
        <v>ATRASADO</v>
      </c>
    </row>
    <row r="1012" spans="2:11">
      <c r="B1012" s="82">
        <v>43184</v>
      </c>
      <c r="C1012" s="16" t="s">
        <v>824</v>
      </c>
      <c r="D1012" s="13" t="s">
        <v>203</v>
      </c>
      <c r="E1012" s="19" t="s">
        <v>204</v>
      </c>
      <c r="F1012" s="60">
        <v>215</v>
      </c>
      <c r="G1012" s="32">
        <v>4148324.37</v>
      </c>
      <c r="H1012" s="219">
        <v>43184</v>
      </c>
      <c r="I1012" s="90">
        <v>0</v>
      </c>
      <c r="J1012" s="90">
        <f t="shared" si="30"/>
        <v>4148324.37</v>
      </c>
      <c r="K1012" s="90" t="str">
        <f t="shared" si="31"/>
        <v>ATRASADO</v>
      </c>
    </row>
    <row r="1013" spans="2:11">
      <c r="B1013" s="82">
        <v>43215</v>
      </c>
      <c r="C1013" s="16" t="s">
        <v>825</v>
      </c>
      <c r="D1013" s="13" t="s">
        <v>203</v>
      </c>
      <c r="E1013" s="19" t="s">
        <v>204</v>
      </c>
      <c r="F1013" s="60">
        <v>215</v>
      </c>
      <c r="G1013" s="32">
        <v>4157781.31</v>
      </c>
      <c r="H1013" s="219">
        <v>43215</v>
      </c>
      <c r="I1013" s="90">
        <v>0</v>
      </c>
      <c r="J1013" s="90">
        <f t="shared" si="30"/>
        <v>4157781.31</v>
      </c>
      <c r="K1013" s="90" t="str">
        <f t="shared" si="31"/>
        <v>ATRASADO</v>
      </c>
    </row>
    <row r="1014" spans="2:11">
      <c r="B1014" s="82">
        <v>43245</v>
      </c>
      <c r="C1014" s="16" t="s">
        <v>826</v>
      </c>
      <c r="D1014" s="13" t="s">
        <v>203</v>
      </c>
      <c r="E1014" s="19" t="s">
        <v>204</v>
      </c>
      <c r="F1014" s="60">
        <v>215</v>
      </c>
      <c r="G1014" s="32">
        <v>4149207.11</v>
      </c>
      <c r="H1014" s="219">
        <v>43245</v>
      </c>
      <c r="I1014" s="90">
        <v>0</v>
      </c>
      <c r="J1014" s="90">
        <f t="shared" si="30"/>
        <v>4149207.11</v>
      </c>
      <c r="K1014" s="90" t="str">
        <f t="shared" si="31"/>
        <v>ATRASADO</v>
      </c>
    </row>
    <row r="1015" spans="2:11">
      <c r="B1015" s="82">
        <v>43276</v>
      </c>
      <c r="C1015" s="16" t="s">
        <v>827</v>
      </c>
      <c r="D1015" s="13" t="s">
        <v>203</v>
      </c>
      <c r="E1015" s="19" t="s">
        <v>204</v>
      </c>
      <c r="F1015" s="60">
        <v>215</v>
      </c>
      <c r="G1015" s="32">
        <v>4225695.6900000004</v>
      </c>
      <c r="H1015" s="219">
        <v>43276</v>
      </c>
      <c r="I1015" s="90">
        <v>0</v>
      </c>
      <c r="J1015" s="90">
        <f t="shared" si="30"/>
        <v>4225695.6900000004</v>
      </c>
      <c r="K1015" s="90" t="str">
        <f t="shared" si="31"/>
        <v>ATRASADO</v>
      </c>
    </row>
    <row r="1016" spans="2:11">
      <c r="B1016" s="82">
        <v>43306</v>
      </c>
      <c r="C1016" s="16" t="s">
        <v>828</v>
      </c>
      <c r="D1016" s="13" t="s">
        <v>203</v>
      </c>
      <c r="E1016" s="19" t="s">
        <v>204</v>
      </c>
      <c r="F1016" s="60">
        <v>215</v>
      </c>
      <c r="G1016" s="32">
        <v>4226044.6399999997</v>
      </c>
      <c r="H1016" s="219">
        <v>43306</v>
      </c>
      <c r="I1016" s="90">
        <v>0</v>
      </c>
      <c r="J1016" s="90">
        <f t="shared" si="30"/>
        <v>4226044.6399999997</v>
      </c>
      <c r="K1016" s="90" t="str">
        <f t="shared" si="31"/>
        <v>ATRASADO</v>
      </c>
    </row>
    <row r="1017" spans="2:11">
      <c r="B1017" s="82">
        <v>43337</v>
      </c>
      <c r="C1017" s="16" t="s">
        <v>829</v>
      </c>
      <c r="D1017" s="13" t="s">
        <v>203</v>
      </c>
      <c r="E1017" s="19" t="s">
        <v>204</v>
      </c>
      <c r="F1017" s="60">
        <v>215</v>
      </c>
      <c r="G1017" s="32">
        <v>4213309.5199999996</v>
      </c>
      <c r="H1017" s="219">
        <v>43337</v>
      </c>
      <c r="I1017" s="90">
        <v>0</v>
      </c>
      <c r="J1017" s="90">
        <f t="shared" si="30"/>
        <v>4213309.5199999996</v>
      </c>
      <c r="K1017" s="90" t="str">
        <f t="shared" si="31"/>
        <v>ATRASADO</v>
      </c>
    </row>
    <row r="1018" spans="2:11">
      <c r="B1018" s="82">
        <v>43368</v>
      </c>
      <c r="C1018" s="16" t="s">
        <v>830</v>
      </c>
      <c r="D1018" s="13" t="s">
        <v>203</v>
      </c>
      <c r="E1018" s="19" t="s">
        <v>204</v>
      </c>
      <c r="F1018" s="60">
        <v>215</v>
      </c>
      <c r="G1018" s="32">
        <v>4113944.43</v>
      </c>
      <c r="H1018" s="219">
        <v>43368</v>
      </c>
      <c r="I1018" s="90">
        <v>0</v>
      </c>
      <c r="J1018" s="90">
        <f t="shared" si="30"/>
        <v>4113944.43</v>
      </c>
      <c r="K1018" s="90" t="str">
        <f t="shared" si="31"/>
        <v>ATRASADO</v>
      </c>
    </row>
    <row r="1019" spans="2:11">
      <c r="B1019" s="82">
        <v>43398</v>
      </c>
      <c r="C1019" s="16" t="s">
        <v>831</v>
      </c>
      <c r="D1019" s="13" t="s">
        <v>203</v>
      </c>
      <c r="E1019" s="19" t="s">
        <v>204</v>
      </c>
      <c r="F1019" s="60">
        <v>215</v>
      </c>
      <c r="G1019" s="32">
        <v>4283335.5599999996</v>
      </c>
      <c r="H1019" s="219">
        <v>43398</v>
      </c>
      <c r="I1019" s="90">
        <v>0</v>
      </c>
      <c r="J1019" s="90">
        <f t="shared" si="30"/>
        <v>4283335.5599999996</v>
      </c>
      <c r="K1019" s="90" t="str">
        <f t="shared" si="31"/>
        <v>ATRASADO</v>
      </c>
    </row>
    <row r="1020" spans="2:11">
      <c r="B1020" s="82">
        <v>43429</v>
      </c>
      <c r="C1020" s="16" t="s">
        <v>832</v>
      </c>
      <c r="D1020" s="13" t="s">
        <v>203</v>
      </c>
      <c r="E1020" s="19" t="s">
        <v>434</v>
      </c>
      <c r="F1020" s="60">
        <v>215</v>
      </c>
      <c r="G1020" s="32">
        <v>4286650.58</v>
      </c>
      <c r="H1020" s="219">
        <v>43429</v>
      </c>
      <c r="I1020" s="90">
        <v>0</v>
      </c>
      <c r="J1020" s="90">
        <f t="shared" si="30"/>
        <v>4286650.58</v>
      </c>
      <c r="K1020" s="90" t="str">
        <f t="shared" si="31"/>
        <v>ATRASADO</v>
      </c>
    </row>
    <row r="1021" spans="2:11">
      <c r="B1021" s="82">
        <v>43459</v>
      </c>
      <c r="C1021" s="16" t="s">
        <v>833</v>
      </c>
      <c r="D1021" s="13" t="s">
        <v>203</v>
      </c>
      <c r="E1021" s="19" t="s">
        <v>434</v>
      </c>
      <c r="F1021" s="60">
        <v>215</v>
      </c>
      <c r="G1021" s="32">
        <v>4319286.38</v>
      </c>
      <c r="H1021" s="219">
        <v>43459</v>
      </c>
      <c r="I1021" s="90">
        <v>0</v>
      </c>
      <c r="J1021" s="90">
        <f t="shared" si="30"/>
        <v>4319286.38</v>
      </c>
      <c r="K1021" s="90" t="str">
        <f t="shared" si="31"/>
        <v>ATRASADO</v>
      </c>
    </row>
    <row r="1022" spans="2:11">
      <c r="B1022" s="82">
        <v>43490</v>
      </c>
      <c r="C1022" s="16" t="s">
        <v>834</v>
      </c>
      <c r="D1022" s="13" t="s">
        <v>203</v>
      </c>
      <c r="E1022" s="19" t="s">
        <v>434</v>
      </c>
      <c r="F1022" s="60">
        <v>215</v>
      </c>
      <c r="G1022" s="32">
        <v>4278831.3600000003</v>
      </c>
      <c r="H1022" s="219">
        <v>43490</v>
      </c>
      <c r="I1022" s="90">
        <v>0</v>
      </c>
      <c r="J1022" s="90">
        <f t="shared" si="30"/>
        <v>4278831.3600000003</v>
      </c>
      <c r="K1022" s="90" t="str">
        <f t="shared" si="31"/>
        <v>ATRASADO</v>
      </c>
    </row>
    <row r="1023" spans="2:11">
      <c r="B1023" s="82">
        <v>43521</v>
      </c>
      <c r="C1023" s="16" t="s">
        <v>835</v>
      </c>
      <c r="D1023" s="13" t="s">
        <v>203</v>
      </c>
      <c r="E1023" s="19" t="s">
        <v>434</v>
      </c>
      <c r="F1023" s="60">
        <v>215</v>
      </c>
      <c r="G1023" s="32">
        <v>4395905.59</v>
      </c>
      <c r="H1023" s="219">
        <v>43521</v>
      </c>
      <c r="I1023" s="90">
        <v>0</v>
      </c>
      <c r="J1023" s="90">
        <f t="shared" si="30"/>
        <v>4395905.59</v>
      </c>
      <c r="K1023" s="90" t="str">
        <f t="shared" si="31"/>
        <v>ATRASADO</v>
      </c>
    </row>
    <row r="1024" spans="2:11">
      <c r="B1024" s="82">
        <v>43549</v>
      </c>
      <c r="C1024" s="16" t="s">
        <v>836</v>
      </c>
      <c r="D1024" s="13" t="s">
        <v>203</v>
      </c>
      <c r="E1024" s="19" t="s">
        <v>434</v>
      </c>
      <c r="F1024" s="60">
        <v>215</v>
      </c>
      <c r="G1024" s="32">
        <v>4391008.57</v>
      </c>
      <c r="H1024" s="219">
        <v>43549</v>
      </c>
      <c r="I1024" s="90">
        <v>0</v>
      </c>
      <c r="J1024" s="90">
        <f t="shared" si="30"/>
        <v>4391008.57</v>
      </c>
      <c r="K1024" s="90" t="str">
        <f t="shared" si="31"/>
        <v>ATRASADO</v>
      </c>
    </row>
    <row r="1025" spans="2:11">
      <c r="B1025" s="82">
        <v>43580</v>
      </c>
      <c r="C1025" s="16" t="s">
        <v>837</v>
      </c>
      <c r="D1025" s="13" t="s">
        <v>203</v>
      </c>
      <c r="E1025" s="19" t="s">
        <v>434</v>
      </c>
      <c r="F1025" s="60">
        <v>215</v>
      </c>
      <c r="G1025" s="32">
        <v>4783481.33</v>
      </c>
      <c r="H1025" s="219">
        <v>43580</v>
      </c>
      <c r="I1025" s="90">
        <v>0</v>
      </c>
      <c r="J1025" s="90">
        <f t="shared" si="30"/>
        <v>4783481.33</v>
      </c>
      <c r="K1025" s="90" t="str">
        <f t="shared" si="31"/>
        <v>ATRASADO</v>
      </c>
    </row>
    <row r="1026" spans="2:11">
      <c r="B1026" s="82">
        <v>43610</v>
      </c>
      <c r="C1026" s="18" t="s">
        <v>838</v>
      </c>
      <c r="D1026" s="13" t="s">
        <v>203</v>
      </c>
      <c r="E1026" s="19" t="s">
        <v>434</v>
      </c>
      <c r="F1026" s="60">
        <v>215</v>
      </c>
      <c r="G1026" s="32">
        <v>4777871.75</v>
      </c>
      <c r="H1026" s="219">
        <v>43610</v>
      </c>
      <c r="I1026" s="90">
        <v>0</v>
      </c>
      <c r="J1026" s="90">
        <f t="shared" si="30"/>
        <v>4777871.75</v>
      </c>
      <c r="K1026" s="90" t="str">
        <f t="shared" si="31"/>
        <v>ATRASADO</v>
      </c>
    </row>
    <row r="1027" spans="2:11">
      <c r="B1027" s="82">
        <v>43641</v>
      </c>
      <c r="C1027" s="18" t="s">
        <v>839</v>
      </c>
      <c r="D1027" s="13" t="s">
        <v>203</v>
      </c>
      <c r="E1027" s="19" t="s">
        <v>434</v>
      </c>
      <c r="F1027" s="60">
        <v>215</v>
      </c>
      <c r="G1027" s="32">
        <v>4838551.62</v>
      </c>
      <c r="H1027" s="219">
        <v>43641</v>
      </c>
      <c r="I1027" s="90">
        <v>0</v>
      </c>
      <c r="J1027" s="90">
        <f t="shared" si="30"/>
        <v>4838551.62</v>
      </c>
      <c r="K1027" s="90" t="str">
        <f t="shared" si="31"/>
        <v>ATRASADO</v>
      </c>
    </row>
    <row r="1028" spans="2:11">
      <c r="B1028" s="82">
        <v>43671</v>
      </c>
      <c r="C1028" s="12" t="s">
        <v>840</v>
      </c>
      <c r="D1028" s="13" t="s">
        <v>203</v>
      </c>
      <c r="E1028" s="19" t="s">
        <v>434</v>
      </c>
      <c r="F1028" s="60">
        <v>215</v>
      </c>
      <c r="G1028" s="32">
        <v>4928107.84</v>
      </c>
      <c r="H1028" s="219">
        <v>43671</v>
      </c>
      <c r="I1028" s="90">
        <v>0</v>
      </c>
      <c r="J1028" s="90">
        <f t="shared" si="30"/>
        <v>4928107.84</v>
      </c>
      <c r="K1028" s="90" t="str">
        <f t="shared" si="31"/>
        <v>ATRASADO</v>
      </c>
    </row>
    <row r="1029" spans="2:11">
      <c r="B1029" s="82">
        <v>43702</v>
      </c>
      <c r="C1029" s="12" t="s">
        <v>841</v>
      </c>
      <c r="D1029" s="13" t="s">
        <v>203</v>
      </c>
      <c r="E1029" s="19" t="s">
        <v>434</v>
      </c>
      <c r="F1029" s="60">
        <v>215</v>
      </c>
      <c r="G1029" s="32">
        <v>9913809.9399999995</v>
      </c>
      <c r="H1029" s="219">
        <v>43702</v>
      </c>
      <c r="I1029" s="90">
        <v>0</v>
      </c>
      <c r="J1029" s="90">
        <f t="shared" si="30"/>
        <v>9913809.9399999995</v>
      </c>
      <c r="K1029" s="90" t="str">
        <f t="shared" si="31"/>
        <v>ATRASADO</v>
      </c>
    </row>
    <row r="1030" spans="2:11">
      <c r="B1030" s="82">
        <v>43733</v>
      </c>
      <c r="C1030" s="12" t="s">
        <v>842</v>
      </c>
      <c r="D1030" s="13" t="s">
        <v>203</v>
      </c>
      <c r="E1030" s="19" t="s">
        <v>434</v>
      </c>
      <c r="F1030" s="60">
        <v>215</v>
      </c>
      <c r="G1030" s="32">
        <v>10166996.26</v>
      </c>
      <c r="H1030" s="219">
        <v>43733</v>
      </c>
      <c r="I1030" s="90">
        <v>0</v>
      </c>
      <c r="J1030" s="90">
        <f t="shared" si="30"/>
        <v>10166996.26</v>
      </c>
      <c r="K1030" s="90" t="str">
        <f t="shared" si="31"/>
        <v>ATRASADO</v>
      </c>
    </row>
    <row r="1031" spans="2:11">
      <c r="B1031" s="82">
        <v>43763</v>
      </c>
      <c r="C1031" s="12" t="s">
        <v>843</v>
      </c>
      <c r="D1031" s="13" t="s">
        <v>203</v>
      </c>
      <c r="E1031" s="19" t="s">
        <v>434</v>
      </c>
      <c r="F1031" s="60">
        <v>215</v>
      </c>
      <c r="G1031" s="32">
        <v>9346939.9299999997</v>
      </c>
      <c r="H1031" s="219">
        <v>43763</v>
      </c>
      <c r="I1031" s="90">
        <v>0</v>
      </c>
      <c r="J1031" s="90">
        <f t="shared" si="30"/>
        <v>9346939.9299999997</v>
      </c>
      <c r="K1031" s="90" t="str">
        <f t="shared" si="31"/>
        <v>ATRASADO</v>
      </c>
    </row>
    <row r="1032" spans="2:11">
      <c r="B1032" s="82">
        <v>43794</v>
      </c>
      <c r="C1032" s="12" t="s">
        <v>844</v>
      </c>
      <c r="D1032" s="13" t="s">
        <v>203</v>
      </c>
      <c r="E1032" s="19" t="s">
        <v>434</v>
      </c>
      <c r="F1032" s="60">
        <v>215</v>
      </c>
      <c r="G1032" s="32">
        <v>9555860.1500000004</v>
      </c>
      <c r="H1032" s="219">
        <v>43794</v>
      </c>
      <c r="I1032" s="90">
        <v>0</v>
      </c>
      <c r="J1032" s="90">
        <f t="shared" si="30"/>
        <v>9555860.1500000004</v>
      </c>
      <c r="K1032" s="90" t="str">
        <f t="shared" si="31"/>
        <v>ATRASADO</v>
      </c>
    </row>
    <row r="1033" spans="2:11">
      <c r="B1033" s="82">
        <v>43824</v>
      </c>
      <c r="C1033" s="12" t="s">
        <v>845</v>
      </c>
      <c r="D1033" s="13" t="s">
        <v>203</v>
      </c>
      <c r="E1033" s="19" t="s">
        <v>434</v>
      </c>
      <c r="F1033" s="60">
        <v>215</v>
      </c>
      <c r="G1033" s="32">
        <v>9783450.3800000008</v>
      </c>
      <c r="H1033" s="219">
        <v>43824</v>
      </c>
      <c r="I1033" s="90">
        <v>0</v>
      </c>
      <c r="J1033" s="90">
        <f t="shared" si="30"/>
        <v>9783450.3800000008</v>
      </c>
      <c r="K1033" s="90" t="str">
        <f t="shared" si="31"/>
        <v>ATRASADO</v>
      </c>
    </row>
    <row r="1034" spans="2:11">
      <c r="B1034" s="82">
        <v>43855</v>
      </c>
      <c r="C1034" s="12" t="s">
        <v>846</v>
      </c>
      <c r="D1034" s="13" t="s">
        <v>203</v>
      </c>
      <c r="E1034" s="19" t="s">
        <v>434</v>
      </c>
      <c r="F1034" s="60">
        <v>215</v>
      </c>
      <c r="G1034" s="32">
        <v>9898380.3200000003</v>
      </c>
      <c r="H1034" s="219">
        <v>43855</v>
      </c>
      <c r="I1034" s="90">
        <v>0</v>
      </c>
      <c r="J1034" s="90">
        <f t="shared" si="30"/>
        <v>9898380.3200000003</v>
      </c>
      <c r="K1034" s="90" t="str">
        <f t="shared" si="31"/>
        <v>ATRASADO</v>
      </c>
    </row>
    <row r="1035" spans="2:11">
      <c r="B1035" s="82">
        <v>43886</v>
      </c>
      <c r="C1035" s="12" t="s">
        <v>847</v>
      </c>
      <c r="D1035" s="13" t="s">
        <v>203</v>
      </c>
      <c r="E1035" s="19" t="s">
        <v>434</v>
      </c>
      <c r="F1035" s="60">
        <v>215</v>
      </c>
      <c r="G1035" s="32">
        <v>10773514.35</v>
      </c>
      <c r="H1035" s="219">
        <v>43886</v>
      </c>
      <c r="I1035" s="90">
        <v>0</v>
      </c>
      <c r="J1035" s="90">
        <f t="shared" si="30"/>
        <v>10773514.35</v>
      </c>
      <c r="K1035" s="90" t="str">
        <f t="shared" si="31"/>
        <v>ATRASADO</v>
      </c>
    </row>
    <row r="1036" spans="2:11">
      <c r="B1036" s="82">
        <v>43915</v>
      </c>
      <c r="C1036" s="83" t="s">
        <v>848</v>
      </c>
      <c r="D1036" s="84" t="s">
        <v>203</v>
      </c>
      <c r="E1036" s="19" t="s">
        <v>434</v>
      </c>
      <c r="F1036" s="60">
        <v>215</v>
      </c>
      <c r="G1036" s="32">
        <v>10554614.949999999</v>
      </c>
      <c r="H1036" s="219">
        <v>43915</v>
      </c>
      <c r="I1036" s="90">
        <v>0</v>
      </c>
      <c r="J1036" s="90">
        <f t="shared" si="30"/>
        <v>10554614.949999999</v>
      </c>
      <c r="K1036" s="90" t="str">
        <f t="shared" si="31"/>
        <v>ATRASADO</v>
      </c>
    </row>
    <row r="1037" spans="2:11">
      <c r="B1037" s="82">
        <v>43946</v>
      </c>
      <c r="C1037" s="12" t="s">
        <v>854</v>
      </c>
      <c r="D1037" s="13" t="s">
        <v>203</v>
      </c>
      <c r="E1037" s="19" t="s">
        <v>434</v>
      </c>
      <c r="F1037" s="60">
        <v>215</v>
      </c>
      <c r="G1037" s="32">
        <v>10795535.02</v>
      </c>
      <c r="H1037" s="219">
        <v>43946</v>
      </c>
      <c r="I1037" s="90">
        <v>0</v>
      </c>
      <c r="J1037" s="90">
        <f t="shared" si="30"/>
        <v>10795535.02</v>
      </c>
      <c r="K1037" s="90" t="str">
        <f t="shared" si="31"/>
        <v>ATRASADO</v>
      </c>
    </row>
    <row r="1038" spans="2:11">
      <c r="B1038" s="82">
        <v>43976</v>
      </c>
      <c r="C1038" s="12" t="s">
        <v>860</v>
      </c>
      <c r="D1038" s="13" t="s">
        <v>203</v>
      </c>
      <c r="E1038" s="19" t="s">
        <v>434</v>
      </c>
      <c r="F1038" s="60">
        <v>215</v>
      </c>
      <c r="G1038" s="32">
        <v>10702783.619999999</v>
      </c>
      <c r="H1038" s="219">
        <v>43976</v>
      </c>
      <c r="I1038" s="90">
        <v>0</v>
      </c>
      <c r="J1038" s="90">
        <f t="shared" si="30"/>
        <v>10702783.619999999</v>
      </c>
      <c r="K1038" s="90" t="str">
        <f t="shared" si="31"/>
        <v>ATRASADO</v>
      </c>
    </row>
    <row r="1039" spans="2:11">
      <c r="B1039" s="82">
        <v>44007</v>
      </c>
      <c r="C1039" s="12" t="s">
        <v>867</v>
      </c>
      <c r="D1039" s="13" t="s">
        <v>203</v>
      </c>
      <c r="E1039" s="19" t="s">
        <v>434</v>
      </c>
      <c r="F1039" s="60">
        <v>215</v>
      </c>
      <c r="G1039" s="32">
        <v>10833726.310000001</v>
      </c>
      <c r="H1039" s="219">
        <v>44007</v>
      </c>
      <c r="I1039" s="90">
        <v>0</v>
      </c>
      <c r="J1039" s="90">
        <f t="shared" si="30"/>
        <v>10833726.310000001</v>
      </c>
      <c r="K1039" s="90" t="str">
        <f t="shared" si="31"/>
        <v>ATRASADO</v>
      </c>
    </row>
    <row r="1040" spans="2:11">
      <c r="B1040" s="82">
        <v>44037</v>
      </c>
      <c r="C1040" s="12" t="s">
        <v>868</v>
      </c>
      <c r="D1040" s="13" t="s">
        <v>203</v>
      </c>
      <c r="E1040" s="19" t="s">
        <v>434</v>
      </c>
      <c r="F1040" s="60">
        <v>215</v>
      </c>
      <c r="G1040" s="32">
        <v>8802087.6500000004</v>
      </c>
      <c r="H1040" s="219">
        <v>44037</v>
      </c>
      <c r="I1040" s="90">
        <v>0</v>
      </c>
      <c r="J1040" s="90">
        <f t="shared" ref="J1040:J1103" si="32">IF(G1040&gt;0,G1040,"")</f>
        <v>8802087.6500000004</v>
      </c>
      <c r="K1040" s="90" t="str">
        <f t="shared" si="31"/>
        <v>ATRASADO</v>
      </c>
    </row>
    <row r="1041" spans="2:11">
      <c r="B1041" s="95"/>
      <c r="C1041" s="75"/>
      <c r="D1041" s="13"/>
      <c r="E1041" s="19"/>
      <c r="F1041" s="76"/>
      <c r="G1041" s="77"/>
      <c r="H1041" s="220"/>
      <c r="I1041" s="90"/>
      <c r="J1041" s="90" t="str">
        <f t="shared" si="32"/>
        <v/>
      </c>
      <c r="K1041" s="90"/>
    </row>
    <row r="1042" spans="2:11">
      <c r="B1042" s="29">
        <v>42465</v>
      </c>
      <c r="C1042" s="28">
        <v>1500006385</v>
      </c>
      <c r="D1042" s="13" t="s">
        <v>201</v>
      </c>
      <c r="E1042" s="19" t="s">
        <v>164</v>
      </c>
      <c r="F1042" s="60">
        <v>2371</v>
      </c>
      <c r="G1042" s="32">
        <v>200000</v>
      </c>
      <c r="H1042" s="212">
        <v>42465</v>
      </c>
      <c r="I1042" s="90">
        <v>0</v>
      </c>
      <c r="J1042" s="90">
        <f t="shared" si="32"/>
        <v>200000</v>
      </c>
      <c r="K1042" s="90" t="str">
        <f t="shared" si="31"/>
        <v>ATRASADO</v>
      </c>
    </row>
    <row r="1043" spans="2:11">
      <c r="B1043" s="29"/>
      <c r="C1043" s="28"/>
      <c r="D1043" s="13"/>
      <c r="E1043" s="19"/>
      <c r="F1043" s="60"/>
      <c r="G1043" s="32"/>
      <c r="H1043" s="212"/>
      <c r="I1043" s="90"/>
      <c r="J1043" s="90" t="str">
        <f t="shared" si="32"/>
        <v/>
      </c>
      <c r="K1043" s="90"/>
    </row>
    <row r="1044" spans="2:11">
      <c r="B1044" s="29" t="s">
        <v>1554</v>
      </c>
      <c r="C1044" s="28" t="s">
        <v>1555</v>
      </c>
      <c r="D1044" s="13" t="s">
        <v>1556</v>
      </c>
      <c r="E1044" s="19" t="s">
        <v>1374</v>
      </c>
      <c r="F1044" s="60">
        <v>2253</v>
      </c>
      <c r="G1044" s="32">
        <v>1440000</v>
      </c>
      <c r="H1044" s="212" t="s">
        <v>1554</v>
      </c>
      <c r="I1044" s="90">
        <v>0</v>
      </c>
      <c r="J1044" s="90">
        <f t="shared" si="32"/>
        <v>1440000</v>
      </c>
      <c r="K1044" s="90" t="str">
        <f t="shared" si="31"/>
        <v>ATRASADO</v>
      </c>
    </row>
    <row r="1045" spans="2:11">
      <c r="B1045" s="29"/>
      <c r="C1045" s="28"/>
      <c r="D1045" s="13"/>
      <c r="E1045" s="19"/>
      <c r="F1045" s="60"/>
      <c r="G1045" s="32"/>
      <c r="H1045" s="212"/>
      <c r="I1045" s="90"/>
      <c r="J1045" s="90" t="str">
        <f t="shared" si="32"/>
        <v/>
      </c>
      <c r="K1045" s="90"/>
    </row>
    <row r="1046" spans="2:11">
      <c r="B1046" s="10">
        <v>42454</v>
      </c>
      <c r="C1046" s="16">
        <v>1500000500</v>
      </c>
      <c r="D1046" s="13" t="s">
        <v>202</v>
      </c>
      <c r="E1046" s="19" t="s">
        <v>165</v>
      </c>
      <c r="F1046" s="60">
        <v>2213</v>
      </c>
      <c r="G1046" s="32">
        <v>81476.69</v>
      </c>
      <c r="H1046" s="208">
        <v>42454</v>
      </c>
      <c r="I1046" s="90">
        <v>0</v>
      </c>
      <c r="J1046" s="90">
        <f t="shared" si="32"/>
        <v>81476.69</v>
      </c>
      <c r="K1046" s="90" t="str">
        <f t="shared" si="31"/>
        <v>ATRASADO</v>
      </c>
    </row>
    <row r="1047" spans="2:11">
      <c r="B1047" s="10">
        <v>42485</v>
      </c>
      <c r="C1047" s="16">
        <v>1500000523</v>
      </c>
      <c r="D1047" s="13" t="s">
        <v>202</v>
      </c>
      <c r="E1047" s="19" t="s">
        <v>165</v>
      </c>
      <c r="F1047" s="60">
        <v>2213</v>
      </c>
      <c r="G1047" s="32">
        <v>78304.38</v>
      </c>
      <c r="H1047" s="208">
        <v>42485</v>
      </c>
      <c r="I1047" s="90">
        <v>0</v>
      </c>
      <c r="J1047" s="90">
        <f t="shared" si="32"/>
        <v>78304.38</v>
      </c>
      <c r="K1047" s="90" t="str">
        <f t="shared" si="31"/>
        <v>ATRASADO</v>
      </c>
    </row>
    <row r="1048" spans="2:11">
      <c r="B1048" s="10">
        <v>42515</v>
      </c>
      <c r="C1048" s="16">
        <v>1500000561</v>
      </c>
      <c r="D1048" s="13" t="s">
        <v>202</v>
      </c>
      <c r="E1048" s="19" t="s">
        <v>165</v>
      </c>
      <c r="F1048" s="60">
        <v>2213</v>
      </c>
      <c r="G1048" s="32">
        <v>81981.86</v>
      </c>
      <c r="H1048" s="208">
        <v>42515</v>
      </c>
      <c r="I1048" s="90">
        <v>0</v>
      </c>
      <c r="J1048" s="90">
        <f t="shared" si="32"/>
        <v>81981.86</v>
      </c>
      <c r="K1048" s="90" t="str">
        <f t="shared" si="31"/>
        <v>ATRASADO</v>
      </c>
    </row>
    <row r="1049" spans="2:11">
      <c r="B1049" s="10">
        <v>42546</v>
      </c>
      <c r="C1049" s="16">
        <v>1500000589</v>
      </c>
      <c r="D1049" s="13" t="s">
        <v>202</v>
      </c>
      <c r="E1049" s="19" t="s">
        <v>165</v>
      </c>
      <c r="F1049" s="60">
        <v>2213</v>
      </c>
      <c r="G1049" s="32">
        <v>84664.4</v>
      </c>
      <c r="H1049" s="208">
        <v>42546</v>
      </c>
      <c r="I1049" s="90">
        <v>0</v>
      </c>
      <c r="J1049" s="90">
        <f t="shared" si="32"/>
        <v>84664.4</v>
      </c>
      <c r="K1049" s="90" t="str">
        <f t="shared" si="31"/>
        <v>ATRASADO</v>
      </c>
    </row>
    <row r="1050" spans="2:11">
      <c r="B1050" s="10">
        <v>42576</v>
      </c>
      <c r="C1050" s="16">
        <v>1500000618</v>
      </c>
      <c r="D1050" s="13" t="s">
        <v>202</v>
      </c>
      <c r="E1050" s="19" t="s">
        <v>165</v>
      </c>
      <c r="F1050" s="60">
        <v>2213</v>
      </c>
      <c r="G1050" s="32">
        <v>20169.5</v>
      </c>
      <c r="H1050" s="208">
        <v>42576</v>
      </c>
      <c r="I1050" s="90">
        <v>0</v>
      </c>
      <c r="J1050" s="90">
        <f t="shared" si="32"/>
        <v>20169.5</v>
      </c>
      <c r="K1050" s="90" t="str">
        <f t="shared" si="31"/>
        <v>ATRASADO</v>
      </c>
    </row>
    <row r="1051" spans="2:11">
      <c r="B1051" s="10">
        <v>42607</v>
      </c>
      <c r="C1051" s="16">
        <v>1500000634</v>
      </c>
      <c r="D1051" s="13" t="s">
        <v>202</v>
      </c>
      <c r="E1051" s="19" t="s">
        <v>165</v>
      </c>
      <c r="F1051" s="60">
        <v>2213</v>
      </c>
      <c r="G1051" s="32">
        <v>82012.91</v>
      </c>
      <c r="H1051" s="208">
        <v>42607</v>
      </c>
      <c r="I1051" s="90">
        <v>0</v>
      </c>
      <c r="J1051" s="90">
        <f t="shared" si="32"/>
        <v>82012.91</v>
      </c>
      <c r="K1051" s="90" t="str">
        <f t="shared" si="31"/>
        <v>ATRASADO</v>
      </c>
    </row>
    <row r="1052" spans="2:11">
      <c r="B1052" s="10">
        <v>42607</v>
      </c>
      <c r="C1052" s="16">
        <v>1500000647</v>
      </c>
      <c r="D1052" s="13" t="s">
        <v>202</v>
      </c>
      <c r="E1052" s="19" t="s">
        <v>165</v>
      </c>
      <c r="F1052" s="60">
        <v>2213</v>
      </c>
      <c r="G1052" s="32">
        <v>73864.320000000007</v>
      </c>
      <c r="H1052" s="208">
        <v>42607</v>
      </c>
      <c r="I1052" s="90">
        <v>0</v>
      </c>
      <c r="J1052" s="90">
        <f t="shared" si="32"/>
        <v>73864.320000000007</v>
      </c>
      <c r="K1052" s="90" t="str">
        <f t="shared" si="31"/>
        <v>ATRASADO</v>
      </c>
    </row>
    <row r="1053" spans="2:11">
      <c r="B1053" s="10">
        <v>42638</v>
      </c>
      <c r="C1053" s="16">
        <v>1500000664</v>
      </c>
      <c r="D1053" s="13" t="s">
        <v>202</v>
      </c>
      <c r="E1053" s="19" t="s">
        <v>165</v>
      </c>
      <c r="F1053" s="60">
        <v>2213</v>
      </c>
      <c r="G1053" s="32">
        <v>13104</v>
      </c>
      <c r="H1053" s="208">
        <v>42638</v>
      </c>
      <c r="I1053" s="90">
        <v>0</v>
      </c>
      <c r="J1053" s="90">
        <f t="shared" si="32"/>
        <v>13104</v>
      </c>
      <c r="K1053" s="90" t="str">
        <f t="shared" si="31"/>
        <v>ATRASADO</v>
      </c>
    </row>
    <row r="1054" spans="2:11">
      <c r="B1054" s="10">
        <v>42638</v>
      </c>
      <c r="C1054" s="16">
        <v>1500000678</v>
      </c>
      <c r="D1054" s="13" t="s">
        <v>202</v>
      </c>
      <c r="E1054" s="19" t="s">
        <v>165</v>
      </c>
      <c r="F1054" s="60">
        <v>2213</v>
      </c>
      <c r="G1054" s="32">
        <v>77333.279999999999</v>
      </c>
      <c r="H1054" s="208">
        <v>42638</v>
      </c>
      <c r="I1054" s="90">
        <v>0</v>
      </c>
      <c r="J1054" s="90">
        <f t="shared" si="32"/>
        <v>77333.279999999999</v>
      </c>
      <c r="K1054" s="90" t="str">
        <f t="shared" si="31"/>
        <v>ATRASADO</v>
      </c>
    </row>
    <row r="1055" spans="2:11">
      <c r="B1055" s="10">
        <v>42668</v>
      </c>
      <c r="C1055" s="16">
        <v>1500000696</v>
      </c>
      <c r="D1055" s="13" t="s">
        <v>202</v>
      </c>
      <c r="E1055" s="19" t="s">
        <v>165</v>
      </c>
      <c r="F1055" s="60">
        <v>2213</v>
      </c>
      <c r="G1055" s="32">
        <v>13104</v>
      </c>
      <c r="H1055" s="208">
        <v>42668</v>
      </c>
      <c r="I1055" s="90">
        <v>0</v>
      </c>
      <c r="J1055" s="90">
        <f t="shared" si="32"/>
        <v>13104</v>
      </c>
      <c r="K1055" s="90" t="str">
        <f t="shared" si="31"/>
        <v>ATRASADO</v>
      </c>
    </row>
    <row r="1056" spans="2:11">
      <c r="B1056" s="10">
        <v>42699</v>
      </c>
      <c r="C1056" s="16">
        <v>1500000734</v>
      </c>
      <c r="D1056" s="13" t="s">
        <v>202</v>
      </c>
      <c r="E1056" s="19" t="s">
        <v>165</v>
      </c>
      <c r="F1056" s="60">
        <v>2213</v>
      </c>
      <c r="G1056" s="32">
        <v>85937.61</v>
      </c>
      <c r="H1056" s="208">
        <v>42699</v>
      </c>
      <c r="I1056" s="90">
        <v>0</v>
      </c>
      <c r="J1056" s="90">
        <f t="shared" si="32"/>
        <v>85937.61</v>
      </c>
      <c r="K1056" s="90" t="str">
        <f t="shared" si="31"/>
        <v>ATRASADO</v>
      </c>
    </row>
    <row r="1057" spans="2:11">
      <c r="B1057" s="10">
        <v>42699</v>
      </c>
      <c r="C1057" s="16">
        <v>1500000742</v>
      </c>
      <c r="D1057" s="13" t="s">
        <v>202</v>
      </c>
      <c r="E1057" s="19" t="s">
        <v>165</v>
      </c>
      <c r="F1057" s="60">
        <v>2213</v>
      </c>
      <c r="G1057" s="32">
        <v>13104</v>
      </c>
      <c r="H1057" s="208">
        <v>42699</v>
      </c>
      <c r="I1057" s="90">
        <v>0</v>
      </c>
      <c r="J1057" s="90">
        <f t="shared" si="32"/>
        <v>13104</v>
      </c>
      <c r="K1057" s="90" t="str">
        <f t="shared" si="31"/>
        <v>ATRASADO</v>
      </c>
    </row>
    <row r="1058" spans="2:11">
      <c r="B1058" s="10">
        <v>41815</v>
      </c>
      <c r="C1058" s="16">
        <v>2802181093</v>
      </c>
      <c r="D1058" s="13" t="s">
        <v>202</v>
      </c>
      <c r="E1058" s="19" t="s">
        <v>165</v>
      </c>
      <c r="F1058" s="60">
        <v>2213</v>
      </c>
      <c r="G1058" s="32">
        <v>1421.15</v>
      </c>
      <c r="H1058" s="208">
        <v>41815</v>
      </c>
      <c r="I1058" s="90">
        <v>0</v>
      </c>
      <c r="J1058" s="90">
        <f t="shared" si="32"/>
        <v>1421.15</v>
      </c>
      <c r="K1058" s="90" t="str">
        <f t="shared" si="31"/>
        <v>ATRASADO</v>
      </c>
    </row>
    <row r="1059" spans="2:11">
      <c r="B1059" s="36">
        <v>40902</v>
      </c>
      <c r="C1059" s="35" t="s">
        <v>429</v>
      </c>
      <c r="D1059" s="13" t="s">
        <v>202</v>
      </c>
      <c r="E1059" s="19" t="s">
        <v>165</v>
      </c>
      <c r="F1059" s="60">
        <v>2213</v>
      </c>
      <c r="G1059" s="32">
        <v>318394.82</v>
      </c>
      <c r="H1059" s="208">
        <v>40902</v>
      </c>
      <c r="I1059" s="90">
        <v>0</v>
      </c>
      <c r="J1059" s="90">
        <f t="shared" si="32"/>
        <v>318394.82</v>
      </c>
      <c r="K1059" s="90" t="str">
        <f t="shared" si="31"/>
        <v>ATRASADO</v>
      </c>
    </row>
    <row r="1060" spans="2:11">
      <c r="B1060" s="100"/>
      <c r="C1060" s="101"/>
      <c r="D1060" s="68"/>
      <c r="E1060" s="102"/>
      <c r="F1060" s="103"/>
      <c r="G1060" s="104"/>
      <c r="H1060" s="221"/>
      <c r="I1060" s="90"/>
      <c r="J1060" s="90" t="str">
        <f t="shared" si="32"/>
        <v/>
      </c>
      <c r="K1060" s="90"/>
    </row>
    <row r="1061" spans="2:11">
      <c r="B1061" s="100" t="s">
        <v>933</v>
      </c>
      <c r="C1061" s="101" t="s">
        <v>934</v>
      </c>
      <c r="D1061" s="107" t="s">
        <v>919</v>
      </c>
      <c r="E1061" s="102" t="s">
        <v>935</v>
      </c>
      <c r="F1061" s="103">
        <v>2272</v>
      </c>
      <c r="G1061" s="104">
        <v>32400</v>
      </c>
      <c r="H1061" s="221" t="s">
        <v>933</v>
      </c>
      <c r="I1061" s="90">
        <v>0</v>
      </c>
      <c r="J1061" s="90">
        <f t="shared" si="32"/>
        <v>32400</v>
      </c>
      <c r="K1061" s="90" t="str">
        <f t="shared" si="31"/>
        <v>ATRASADO</v>
      </c>
    </row>
    <row r="1062" spans="2:11">
      <c r="B1062" s="100"/>
      <c r="C1062" s="101"/>
      <c r="D1062" s="68"/>
      <c r="E1062" s="102"/>
      <c r="F1062" s="103"/>
      <c r="G1062" s="104"/>
      <c r="H1062" s="221"/>
      <c r="I1062" s="90"/>
      <c r="J1062" s="90" t="str">
        <f t="shared" si="32"/>
        <v/>
      </c>
      <c r="K1062" s="90"/>
    </row>
    <row r="1063" spans="2:11">
      <c r="B1063" s="10">
        <v>44295</v>
      </c>
      <c r="C1063" s="16" t="s">
        <v>1557</v>
      </c>
      <c r="D1063" s="98" t="s">
        <v>1558</v>
      </c>
      <c r="E1063" s="19" t="s">
        <v>102</v>
      </c>
      <c r="F1063" s="60">
        <v>2221</v>
      </c>
      <c r="G1063" s="32">
        <v>23600</v>
      </c>
      <c r="H1063" s="208">
        <v>44295</v>
      </c>
      <c r="I1063" s="90">
        <v>0</v>
      </c>
      <c r="J1063" s="90">
        <f t="shared" si="32"/>
        <v>23600</v>
      </c>
      <c r="K1063" s="90" t="str">
        <f t="shared" si="31"/>
        <v>ATRASADO</v>
      </c>
    </row>
    <row r="1064" spans="2:11">
      <c r="B1064" s="10">
        <v>44295</v>
      </c>
      <c r="C1064" s="16" t="s">
        <v>1559</v>
      </c>
      <c r="D1064" s="98" t="s">
        <v>1558</v>
      </c>
      <c r="E1064" s="19" t="s">
        <v>102</v>
      </c>
      <c r="F1064" s="60">
        <v>2221</v>
      </c>
      <c r="G1064" s="32">
        <v>23600</v>
      </c>
      <c r="H1064" s="208">
        <v>44295</v>
      </c>
      <c r="I1064" s="90">
        <v>0</v>
      </c>
      <c r="J1064" s="90">
        <f t="shared" si="32"/>
        <v>23600</v>
      </c>
      <c r="K1064" s="90" t="str">
        <f t="shared" si="31"/>
        <v>ATRASADO</v>
      </c>
    </row>
    <row r="1065" spans="2:11">
      <c r="B1065" s="10">
        <v>44295</v>
      </c>
      <c r="C1065" s="16" t="s">
        <v>1560</v>
      </c>
      <c r="D1065" s="98" t="s">
        <v>1558</v>
      </c>
      <c r="E1065" s="19" t="s">
        <v>102</v>
      </c>
      <c r="F1065" s="60">
        <v>2221</v>
      </c>
      <c r="G1065" s="32">
        <v>23600</v>
      </c>
      <c r="H1065" s="208">
        <v>44295</v>
      </c>
      <c r="I1065" s="90">
        <v>0</v>
      </c>
      <c r="J1065" s="90">
        <f t="shared" si="32"/>
        <v>23600</v>
      </c>
      <c r="K1065" s="90" t="str">
        <f t="shared" si="31"/>
        <v>ATRASADO</v>
      </c>
    </row>
    <row r="1066" spans="2:11">
      <c r="B1066" s="10">
        <v>44203</v>
      </c>
      <c r="C1066" s="16" t="s">
        <v>1561</v>
      </c>
      <c r="D1066" s="98" t="s">
        <v>1558</v>
      </c>
      <c r="E1066" s="19" t="s">
        <v>102</v>
      </c>
      <c r="F1066" s="60">
        <v>2221</v>
      </c>
      <c r="G1066" s="32">
        <v>23600</v>
      </c>
      <c r="H1066" s="208">
        <v>44203</v>
      </c>
      <c r="I1066" s="90">
        <v>0</v>
      </c>
      <c r="J1066" s="90">
        <f t="shared" si="32"/>
        <v>23600</v>
      </c>
      <c r="K1066" s="90" t="str">
        <f t="shared" si="31"/>
        <v>ATRASADO</v>
      </c>
    </row>
    <row r="1067" spans="2:11">
      <c r="B1067" s="10" t="s">
        <v>1537</v>
      </c>
      <c r="C1067" s="16" t="s">
        <v>1562</v>
      </c>
      <c r="D1067" s="98" t="s">
        <v>1558</v>
      </c>
      <c r="E1067" s="19" t="s">
        <v>102</v>
      </c>
      <c r="F1067" s="60">
        <v>2221</v>
      </c>
      <c r="G1067" s="32">
        <v>23600</v>
      </c>
      <c r="H1067" s="208" t="s">
        <v>1537</v>
      </c>
      <c r="I1067" s="90">
        <v>0</v>
      </c>
      <c r="J1067" s="90">
        <f t="shared" si="32"/>
        <v>23600</v>
      </c>
      <c r="K1067" s="90" t="str">
        <f t="shared" si="31"/>
        <v>ATRASADO</v>
      </c>
    </row>
    <row r="1068" spans="2:11">
      <c r="B1068" s="36"/>
      <c r="C1068" s="35"/>
      <c r="D1068" s="68"/>
      <c r="E1068" s="19"/>
      <c r="F1068" s="60"/>
      <c r="G1068" s="32"/>
      <c r="H1068" s="210"/>
      <c r="I1068" s="90"/>
      <c r="J1068" s="90" t="str">
        <f t="shared" si="32"/>
        <v/>
      </c>
      <c r="K1068" s="90"/>
    </row>
    <row r="1069" spans="2:11">
      <c r="B1069" s="36" t="s">
        <v>1563</v>
      </c>
      <c r="C1069" s="35" t="s">
        <v>1564</v>
      </c>
      <c r="D1069" s="68" t="s">
        <v>1565</v>
      </c>
      <c r="E1069" s="19" t="s">
        <v>164</v>
      </c>
      <c r="F1069" s="60">
        <v>2371</v>
      </c>
      <c r="G1069" s="32">
        <v>464700</v>
      </c>
      <c r="H1069" s="210" t="s">
        <v>1566</v>
      </c>
      <c r="I1069" s="90">
        <v>0</v>
      </c>
      <c r="J1069" s="90">
        <f t="shared" si="32"/>
        <v>464700</v>
      </c>
      <c r="K1069" s="90" t="str">
        <f t="shared" ref="K1069:K1132" si="33">IF(J1069&gt;0,"ATRASADO","")</f>
        <v>ATRASADO</v>
      </c>
    </row>
    <row r="1070" spans="2:11">
      <c r="B1070" s="36"/>
      <c r="C1070" s="35"/>
      <c r="D1070" s="68"/>
      <c r="E1070" s="19"/>
      <c r="F1070" s="60"/>
      <c r="G1070" s="32"/>
      <c r="H1070" s="210"/>
      <c r="I1070" s="90"/>
      <c r="J1070" s="90" t="str">
        <f t="shared" si="32"/>
        <v/>
      </c>
      <c r="K1070" s="90"/>
    </row>
    <row r="1071" spans="2:11">
      <c r="B1071" s="36">
        <v>44117</v>
      </c>
      <c r="C1071" s="21" t="s">
        <v>620</v>
      </c>
      <c r="D1071" s="13" t="s">
        <v>879</v>
      </c>
      <c r="E1071" s="19" t="s">
        <v>705</v>
      </c>
      <c r="F1071" s="60">
        <v>2286</v>
      </c>
      <c r="G1071" s="32">
        <v>42550.8</v>
      </c>
      <c r="H1071" s="210">
        <v>44117</v>
      </c>
      <c r="I1071" s="90">
        <v>0</v>
      </c>
      <c r="J1071" s="90">
        <f t="shared" si="32"/>
        <v>42550.8</v>
      </c>
      <c r="K1071" s="90" t="str">
        <f t="shared" si="33"/>
        <v>ATRASADO</v>
      </c>
    </row>
    <row r="1072" spans="2:11">
      <c r="B1072" s="36"/>
      <c r="C1072" s="35"/>
      <c r="D1072" s="13"/>
      <c r="E1072" s="19"/>
      <c r="F1072" s="60"/>
      <c r="G1072" s="32"/>
      <c r="H1072" s="210"/>
      <c r="I1072" s="90"/>
      <c r="J1072" s="90" t="str">
        <f t="shared" si="32"/>
        <v/>
      </c>
      <c r="K1072" s="90"/>
    </row>
    <row r="1073" spans="2:11">
      <c r="B1073" s="24">
        <v>43405</v>
      </c>
      <c r="C1073" s="21" t="s">
        <v>592</v>
      </c>
      <c r="D1073" s="13" t="s">
        <v>637</v>
      </c>
      <c r="E1073" s="19" t="s">
        <v>21</v>
      </c>
      <c r="F1073" s="60">
        <v>2251</v>
      </c>
      <c r="G1073" s="32">
        <v>253440</v>
      </c>
      <c r="H1073" s="210">
        <v>43405</v>
      </c>
      <c r="I1073" s="90">
        <v>0</v>
      </c>
      <c r="J1073" s="90">
        <f t="shared" si="32"/>
        <v>253440</v>
      </c>
      <c r="K1073" s="90" t="str">
        <f t="shared" si="33"/>
        <v>ATRASADO</v>
      </c>
    </row>
    <row r="1074" spans="2:11">
      <c r="B1074" s="96"/>
      <c r="C1074" s="61"/>
      <c r="D1074" s="13"/>
      <c r="E1074" s="19"/>
      <c r="F1074" s="60"/>
      <c r="G1074" s="62"/>
      <c r="H1074" s="208"/>
      <c r="I1074" s="90"/>
      <c r="J1074" s="90" t="str">
        <f t="shared" si="32"/>
        <v/>
      </c>
      <c r="K1074" s="90"/>
    </row>
    <row r="1075" spans="2:11">
      <c r="B1075" s="96">
        <v>44202</v>
      </c>
      <c r="C1075" s="61" t="s">
        <v>1567</v>
      </c>
      <c r="D1075" s="98" t="s">
        <v>1568</v>
      </c>
      <c r="E1075" s="19" t="s">
        <v>102</v>
      </c>
      <c r="F1075" s="60">
        <v>2221</v>
      </c>
      <c r="G1075" s="62">
        <v>35400</v>
      </c>
      <c r="H1075" s="222">
        <v>44202</v>
      </c>
      <c r="I1075" s="90">
        <v>0</v>
      </c>
      <c r="J1075" s="90">
        <f t="shared" si="32"/>
        <v>35400</v>
      </c>
      <c r="K1075" s="90" t="str">
        <f t="shared" si="33"/>
        <v>ATRASADO</v>
      </c>
    </row>
    <row r="1076" spans="2:11">
      <c r="B1076" s="96"/>
      <c r="C1076" s="61"/>
      <c r="D1076" s="13"/>
      <c r="E1076" s="19"/>
      <c r="F1076" s="60"/>
      <c r="G1076" s="62"/>
      <c r="H1076" s="208"/>
      <c r="I1076" s="90"/>
      <c r="J1076" s="90" t="str">
        <f t="shared" si="32"/>
        <v/>
      </c>
      <c r="K1076" s="90"/>
    </row>
    <row r="1077" spans="2:11">
      <c r="B1077" s="10">
        <v>40298</v>
      </c>
      <c r="C1077" s="12" t="s">
        <v>255</v>
      </c>
      <c r="D1077" s="13" t="s">
        <v>256</v>
      </c>
      <c r="E1077" s="19" t="s">
        <v>6</v>
      </c>
      <c r="F1077" s="60">
        <v>2254</v>
      </c>
      <c r="G1077" s="32">
        <v>57750</v>
      </c>
      <c r="H1077" s="208">
        <v>40298</v>
      </c>
      <c r="I1077" s="90">
        <v>0</v>
      </c>
      <c r="J1077" s="90">
        <f t="shared" si="32"/>
        <v>57750</v>
      </c>
      <c r="K1077" s="90" t="str">
        <f t="shared" si="33"/>
        <v>ATRASADO</v>
      </c>
    </row>
    <row r="1078" spans="2:11">
      <c r="B1078" s="10">
        <v>40329</v>
      </c>
      <c r="C1078" s="12" t="s">
        <v>257</v>
      </c>
      <c r="D1078" s="13" t="s">
        <v>256</v>
      </c>
      <c r="E1078" s="19" t="s">
        <v>6</v>
      </c>
      <c r="F1078" s="60">
        <v>2254</v>
      </c>
      <c r="G1078" s="32">
        <v>55000</v>
      </c>
      <c r="H1078" s="208">
        <v>40329</v>
      </c>
      <c r="I1078" s="90">
        <v>0</v>
      </c>
      <c r="J1078" s="90">
        <f t="shared" si="32"/>
        <v>55000</v>
      </c>
      <c r="K1078" s="90" t="str">
        <f t="shared" si="33"/>
        <v>ATRASADO</v>
      </c>
    </row>
    <row r="1079" spans="2:11">
      <c r="B1079" s="10">
        <v>40359</v>
      </c>
      <c r="C1079" s="12" t="s">
        <v>258</v>
      </c>
      <c r="D1079" s="13" t="s">
        <v>256</v>
      </c>
      <c r="E1079" s="19" t="s">
        <v>6</v>
      </c>
      <c r="F1079" s="60">
        <v>2254</v>
      </c>
      <c r="G1079" s="32">
        <v>60500</v>
      </c>
      <c r="H1079" s="208">
        <v>40359</v>
      </c>
      <c r="I1079" s="90">
        <v>0</v>
      </c>
      <c r="J1079" s="90">
        <f t="shared" si="32"/>
        <v>60500</v>
      </c>
      <c r="K1079" s="90" t="str">
        <f t="shared" si="33"/>
        <v>ATRASADO</v>
      </c>
    </row>
    <row r="1080" spans="2:11">
      <c r="B1080" s="10">
        <v>40390</v>
      </c>
      <c r="C1080" s="12" t="s">
        <v>259</v>
      </c>
      <c r="D1080" s="13" t="s">
        <v>256</v>
      </c>
      <c r="E1080" s="19" t="s">
        <v>6</v>
      </c>
      <c r="F1080" s="60">
        <v>2254</v>
      </c>
      <c r="G1080" s="32">
        <v>22000</v>
      </c>
      <c r="H1080" s="208">
        <v>40390</v>
      </c>
      <c r="I1080" s="90">
        <v>0</v>
      </c>
      <c r="J1080" s="90">
        <f t="shared" si="32"/>
        <v>22000</v>
      </c>
      <c r="K1080" s="90" t="str">
        <f t="shared" si="33"/>
        <v>ATRASADO</v>
      </c>
    </row>
    <row r="1081" spans="2:11">
      <c r="B1081" s="10"/>
      <c r="C1081" s="12"/>
      <c r="D1081" s="13"/>
      <c r="E1081" s="19"/>
      <c r="F1081" s="60"/>
      <c r="G1081" s="32"/>
      <c r="H1081" s="208"/>
      <c r="I1081" s="90"/>
      <c r="J1081" s="90" t="str">
        <f t="shared" si="32"/>
        <v/>
      </c>
      <c r="K1081" s="90"/>
    </row>
    <row r="1082" spans="2:11" ht="24.75">
      <c r="B1082" s="11">
        <v>39987</v>
      </c>
      <c r="C1082" s="21" t="s">
        <v>205</v>
      </c>
      <c r="D1082" s="13" t="s">
        <v>206</v>
      </c>
      <c r="E1082" s="19" t="s">
        <v>207</v>
      </c>
      <c r="F1082" s="60">
        <v>2311</v>
      </c>
      <c r="G1082" s="32">
        <v>220440</v>
      </c>
      <c r="H1082" s="87">
        <v>39987</v>
      </c>
      <c r="I1082" s="90">
        <v>0</v>
      </c>
      <c r="J1082" s="90">
        <f t="shared" si="32"/>
        <v>220440</v>
      </c>
      <c r="K1082" s="90" t="str">
        <f t="shared" si="33"/>
        <v>ATRASADO</v>
      </c>
    </row>
    <row r="1083" spans="2:11">
      <c r="B1083" s="11"/>
      <c r="C1083" s="21"/>
      <c r="D1083" s="13"/>
      <c r="E1083" s="19"/>
      <c r="F1083" s="60"/>
      <c r="G1083" s="32"/>
      <c r="H1083" s="87"/>
      <c r="I1083" s="90"/>
      <c r="J1083" s="90" t="str">
        <f t="shared" si="32"/>
        <v/>
      </c>
      <c r="K1083" s="90"/>
    </row>
    <row r="1084" spans="2:11">
      <c r="B1084" s="36">
        <v>40440</v>
      </c>
      <c r="C1084" s="38">
        <v>1500892235</v>
      </c>
      <c r="D1084" s="13" t="s">
        <v>386</v>
      </c>
      <c r="E1084" s="19" t="s">
        <v>102</v>
      </c>
      <c r="F1084" s="60">
        <v>2221</v>
      </c>
      <c r="G1084" s="32">
        <v>87000</v>
      </c>
      <c r="H1084" s="210">
        <v>40440</v>
      </c>
      <c r="I1084" s="90">
        <v>0</v>
      </c>
      <c r="J1084" s="90">
        <f t="shared" si="32"/>
        <v>87000</v>
      </c>
      <c r="K1084" s="90" t="str">
        <f t="shared" si="33"/>
        <v>ATRASADO</v>
      </c>
    </row>
    <row r="1085" spans="2:11">
      <c r="B1085" s="36"/>
      <c r="C1085" s="38"/>
      <c r="D1085" s="13"/>
      <c r="E1085" s="19"/>
      <c r="F1085" s="60"/>
      <c r="G1085" s="32"/>
      <c r="H1085" s="210"/>
      <c r="I1085" s="90"/>
      <c r="J1085" s="90" t="str">
        <f t="shared" si="32"/>
        <v/>
      </c>
      <c r="K1085" s="90"/>
    </row>
    <row r="1086" spans="2:11">
      <c r="B1086" s="36">
        <v>40544</v>
      </c>
      <c r="C1086" s="38" t="s">
        <v>457</v>
      </c>
      <c r="D1086" s="13" t="s">
        <v>380</v>
      </c>
      <c r="E1086" s="19" t="s">
        <v>381</v>
      </c>
      <c r="F1086" s="60">
        <v>2251</v>
      </c>
      <c r="G1086" s="32">
        <v>41863.230000000003</v>
      </c>
      <c r="H1086" s="210">
        <v>40544</v>
      </c>
      <c r="I1086" s="90">
        <v>0</v>
      </c>
      <c r="J1086" s="90">
        <f t="shared" si="32"/>
        <v>41863.230000000003</v>
      </c>
      <c r="K1086" s="90" t="str">
        <f t="shared" si="33"/>
        <v>ATRASADO</v>
      </c>
    </row>
    <row r="1087" spans="2:11">
      <c r="B1087" s="36"/>
      <c r="C1087" s="38"/>
      <c r="D1087" s="13"/>
      <c r="E1087" s="19"/>
      <c r="F1087" s="60"/>
      <c r="G1087" s="32"/>
      <c r="H1087" s="210"/>
      <c r="I1087" s="90"/>
      <c r="J1087" s="90" t="str">
        <f t="shared" si="32"/>
        <v/>
      </c>
      <c r="K1087" s="90"/>
    </row>
    <row r="1088" spans="2:11">
      <c r="B1088" s="20">
        <v>39955</v>
      </c>
      <c r="C1088" s="34" t="s">
        <v>208</v>
      </c>
      <c r="D1088" s="13" t="s">
        <v>209</v>
      </c>
      <c r="E1088" s="19" t="s">
        <v>207</v>
      </c>
      <c r="F1088" s="60">
        <v>2311</v>
      </c>
      <c r="G1088" s="32">
        <v>40000</v>
      </c>
      <c r="H1088" s="209">
        <v>39955</v>
      </c>
      <c r="I1088" s="90">
        <v>0</v>
      </c>
      <c r="J1088" s="90">
        <f t="shared" si="32"/>
        <v>40000</v>
      </c>
      <c r="K1088" s="90" t="str">
        <f t="shared" si="33"/>
        <v>ATRASADO</v>
      </c>
    </row>
    <row r="1089" spans="2:11">
      <c r="B1089" s="20"/>
      <c r="C1089" s="34"/>
      <c r="D1089" s="13"/>
      <c r="E1089" s="19"/>
      <c r="F1089" s="60"/>
      <c r="G1089" s="32"/>
      <c r="H1089" s="209"/>
      <c r="I1089" s="90"/>
      <c r="J1089" s="90" t="str">
        <f t="shared" si="32"/>
        <v/>
      </c>
      <c r="K1089" s="90"/>
    </row>
    <row r="1090" spans="2:11">
      <c r="B1090" s="36">
        <v>40651</v>
      </c>
      <c r="C1090" s="35" t="s">
        <v>396</v>
      </c>
      <c r="D1090" s="13" t="s">
        <v>397</v>
      </c>
      <c r="E1090" s="19" t="s">
        <v>398</v>
      </c>
      <c r="F1090" s="60">
        <v>2243</v>
      </c>
      <c r="G1090" s="32">
        <v>13273.82</v>
      </c>
      <c r="H1090" s="210">
        <v>40651</v>
      </c>
      <c r="I1090" s="90">
        <v>0</v>
      </c>
      <c r="J1090" s="90">
        <f t="shared" si="32"/>
        <v>13273.82</v>
      </c>
      <c r="K1090" s="90" t="str">
        <f t="shared" si="33"/>
        <v>ATRASADO</v>
      </c>
    </row>
    <row r="1091" spans="2:11">
      <c r="B1091" s="36">
        <v>40683</v>
      </c>
      <c r="C1091" s="35" t="s">
        <v>399</v>
      </c>
      <c r="D1091" s="13" t="s">
        <v>397</v>
      </c>
      <c r="E1091" s="19" t="s">
        <v>398</v>
      </c>
      <c r="F1091" s="60">
        <v>2243</v>
      </c>
      <c r="G1091" s="32">
        <f>6624.54+399.99</f>
        <v>7024.53</v>
      </c>
      <c r="H1091" s="210">
        <v>40683</v>
      </c>
      <c r="I1091" s="90">
        <v>0</v>
      </c>
      <c r="J1091" s="90">
        <f t="shared" si="32"/>
        <v>7024.53</v>
      </c>
      <c r="K1091" s="90" t="str">
        <f t="shared" si="33"/>
        <v>ATRASADO</v>
      </c>
    </row>
    <row r="1092" spans="2:11">
      <c r="B1092" s="36">
        <v>40724</v>
      </c>
      <c r="C1092" s="35" t="s">
        <v>400</v>
      </c>
      <c r="D1092" s="13" t="s">
        <v>397</v>
      </c>
      <c r="E1092" s="19" t="s">
        <v>398</v>
      </c>
      <c r="F1092" s="60">
        <v>2243</v>
      </c>
      <c r="G1092" s="32">
        <v>1160</v>
      </c>
      <c r="H1092" s="210">
        <v>40724</v>
      </c>
      <c r="I1092" s="90">
        <v>0</v>
      </c>
      <c r="J1092" s="90">
        <f t="shared" si="32"/>
        <v>1160</v>
      </c>
      <c r="K1092" s="90" t="str">
        <f t="shared" si="33"/>
        <v>ATRASADO</v>
      </c>
    </row>
    <row r="1093" spans="2:11">
      <c r="B1093" s="97">
        <v>40633</v>
      </c>
      <c r="C1093" s="42">
        <v>127193</v>
      </c>
      <c r="D1093" s="13" t="s">
        <v>397</v>
      </c>
      <c r="E1093" s="19" t="s">
        <v>398</v>
      </c>
      <c r="F1093" s="60">
        <v>2243</v>
      </c>
      <c r="G1093" s="32">
        <v>285304.7</v>
      </c>
      <c r="H1093" s="210">
        <v>40633</v>
      </c>
      <c r="I1093" s="90">
        <v>0</v>
      </c>
      <c r="J1093" s="90">
        <f t="shared" si="32"/>
        <v>285304.7</v>
      </c>
      <c r="K1093" s="90" t="str">
        <f t="shared" si="33"/>
        <v>ATRASADO</v>
      </c>
    </row>
    <row r="1094" spans="2:11">
      <c r="B1094" s="97">
        <v>40651</v>
      </c>
      <c r="C1094" s="42">
        <v>127304</v>
      </c>
      <c r="D1094" s="13" t="s">
        <v>397</v>
      </c>
      <c r="E1094" s="19" t="s">
        <v>398</v>
      </c>
      <c r="F1094" s="60">
        <v>2243</v>
      </c>
      <c r="G1094" s="32">
        <v>276101.34000000003</v>
      </c>
      <c r="H1094" s="210">
        <v>40651</v>
      </c>
      <c r="I1094" s="90">
        <v>0</v>
      </c>
      <c r="J1094" s="90">
        <f t="shared" si="32"/>
        <v>276101.34000000003</v>
      </c>
      <c r="K1094" s="90" t="str">
        <f t="shared" si="33"/>
        <v>ATRASADO</v>
      </c>
    </row>
    <row r="1095" spans="2:11">
      <c r="B1095" s="97">
        <v>40663</v>
      </c>
      <c r="C1095" s="42">
        <v>127058</v>
      </c>
      <c r="D1095" s="13" t="s">
        <v>397</v>
      </c>
      <c r="E1095" s="19" t="s">
        <v>398</v>
      </c>
      <c r="F1095" s="60">
        <v>2243</v>
      </c>
      <c r="G1095" s="32">
        <v>276101.33</v>
      </c>
      <c r="H1095" s="210">
        <v>40663</v>
      </c>
      <c r="I1095" s="90">
        <v>0</v>
      </c>
      <c r="J1095" s="90">
        <f t="shared" si="32"/>
        <v>276101.33</v>
      </c>
      <c r="K1095" s="90" t="str">
        <f t="shared" si="33"/>
        <v>ATRASADO</v>
      </c>
    </row>
    <row r="1096" spans="2:11">
      <c r="B1096" s="97"/>
      <c r="C1096" s="42"/>
      <c r="D1096" s="13"/>
      <c r="E1096" s="19"/>
      <c r="F1096" s="60"/>
      <c r="G1096" s="32"/>
      <c r="H1096" s="223"/>
      <c r="I1096" s="90"/>
      <c r="J1096" s="90" t="str">
        <f t="shared" si="32"/>
        <v/>
      </c>
      <c r="K1096" s="90"/>
    </row>
    <row r="1097" spans="2:11">
      <c r="B1097" s="20">
        <v>40196</v>
      </c>
      <c r="C1097" s="16">
        <v>1500000116</v>
      </c>
      <c r="D1097" s="13" t="s">
        <v>498</v>
      </c>
      <c r="E1097" s="19" t="s">
        <v>102</v>
      </c>
      <c r="F1097" s="60">
        <v>2221</v>
      </c>
      <c r="G1097" s="32">
        <v>20000</v>
      </c>
      <c r="H1097" s="208">
        <v>40196</v>
      </c>
      <c r="I1097" s="90">
        <v>0</v>
      </c>
      <c r="J1097" s="90">
        <f t="shared" si="32"/>
        <v>20000</v>
      </c>
      <c r="K1097" s="90" t="str">
        <f t="shared" si="33"/>
        <v>ATRASADO</v>
      </c>
    </row>
    <row r="1098" spans="2:11">
      <c r="B1098" s="20"/>
      <c r="C1098" s="16"/>
      <c r="D1098" s="13"/>
      <c r="E1098" s="19"/>
      <c r="F1098" s="60"/>
      <c r="G1098" s="32"/>
      <c r="H1098" s="208"/>
      <c r="I1098" s="90"/>
      <c r="J1098" s="90" t="str">
        <f t="shared" si="32"/>
        <v/>
      </c>
      <c r="K1098" s="90"/>
    </row>
    <row r="1099" spans="2:11">
      <c r="B1099" s="11">
        <v>38717</v>
      </c>
      <c r="C1099" s="12" t="s">
        <v>18</v>
      </c>
      <c r="D1099" s="13" t="s">
        <v>261</v>
      </c>
      <c r="E1099" s="19" t="s">
        <v>18</v>
      </c>
      <c r="F1099" s="60">
        <v>4213</v>
      </c>
      <c r="G1099" s="32">
        <v>350714348.25</v>
      </c>
      <c r="H1099" s="87">
        <v>38717</v>
      </c>
      <c r="I1099" s="90">
        <v>0</v>
      </c>
      <c r="J1099" s="90">
        <f t="shared" si="32"/>
        <v>350714348.25</v>
      </c>
      <c r="K1099" s="90" t="str">
        <f t="shared" si="33"/>
        <v>ATRASADO</v>
      </c>
    </row>
    <row r="1100" spans="2:11">
      <c r="B1100" s="95"/>
      <c r="C1100" s="75"/>
      <c r="D1100" s="13"/>
      <c r="E1100" s="19"/>
      <c r="F1100" s="76"/>
      <c r="G1100" s="77"/>
      <c r="H1100" s="220"/>
      <c r="I1100" s="90"/>
      <c r="J1100" s="90" t="str">
        <f t="shared" si="32"/>
        <v/>
      </c>
      <c r="K1100" s="90"/>
    </row>
    <row r="1101" spans="2:11" ht="24.75">
      <c r="B1101" s="11">
        <v>40458</v>
      </c>
      <c r="C1101" s="12" t="s">
        <v>18</v>
      </c>
      <c r="D1101" s="13" t="s">
        <v>260</v>
      </c>
      <c r="E1101" s="19" t="s">
        <v>18</v>
      </c>
      <c r="F1101" s="60">
        <v>4213</v>
      </c>
      <c r="G1101" s="32">
        <v>7422916.1400000006</v>
      </c>
      <c r="H1101" s="87">
        <v>40458</v>
      </c>
      <c r="I1101" s="90">
        <v>0</v>
      </c>
      <c r="J1101" s="90">
        <f t="shared" si="32"/>
        <v>7422916.1400000006</v>
      </c>
      <c r="K1101" s="90" t="str">
        <f t="shared" si="33"/>
        <v>ATRASADO</v>
      </c>
    </row>
    <row r="1102" spans="2:11">
      <c r="B1102" s="11"/>
      <c r="C1102" s="12"/>
      <c r="D1102" s="13"/>
      <c r="E1102" s="19"/>
      <c r="F1102" s="60"/>
      <c r="G1102" s="32"/>
      <c r="H1102" s="87"/>
      <c r="I1102" s="90"/>
      <c r="J1102" s="90" t="str">
        <f t="shared" si="32"/>
        <v/>
      </c>
      <c r="K1102" s="90"/>
    </row>
    <row r="1103" spans="2:11">
      <c r="B1103" s="36">
        <v>40679</v>
      </c>
      <c r="C1103" s="35" t="s">
        <v>210</v>
      </c>
      <c r="D1103" s="13" t="s">
        <v>211</v>
      </c>
      <c r="E1103" s="19" t="s">
        <v>207</v>
      </c>
      <c r="F1103" s="60">
        <v>2311</v>
      </c>
      <c r="G1103" s="32">
        <v>5340</v>
      </c>
      <c r="H1103" s="210">
        <v>40679</v>
      </c>
      <c r="I1103" s="90">
        <v>0</v>
      </c>
      <c r="J1103" s="90">
        <f t="shared" si="32"/>
        <v>5340</v>
      </c>
      <c r="K1103" s="90" t="str">
        <f t="shared" si="33"/>
        <v>ATRASADO</v>
      </c>
    </row>
    <row r="1104" spans="2:11">
      <c r="B1104" s="36">
        <v>40679</v>
      </c>
      <c r="C1104" s="35" t="s">
        <v>212</v>
      </c>
      <c r="D1104" s="13" t="s">
        <v>211</v>
      </c>
      <c r="E1104" s="19" t="s">
        <v>207</v>
      </c>
      <c r="F1104" s="60">
        <v>2311</v>
      </c>
      <c r="G1104" s="32">
        <v>5340</v>
      </c>
      <c r="H1104" s="210">
        <v>40679</v>
      </c>
      <c r="I1104" s="90">
        <v>0</v>
      </c>
      <c r="J1104" s="90">
        <f t="shared" ref="J1104:J1167" si="34">IF(G1104&gt;0,G1104,"")</f>
        <v>5340</v>
      </c>
      <c r="K1104" s="90" t="str">
        <f t="shared" si="33"/>
        <v>ATRASADO</v>
      </c>
    </row>
    <row r="1105" spans="2:11">
      <c r="B1105" s="36">
        <v>40679</v>
      </c>
      <c r="C1105" s="35" t="s">
        <v>213</v>
      </c>
      <c r="D1105" s="13" t="s">
        <v>211</v>
      </c>
      <c r="E1105" s="19" t="s">
        <v>207</v>
      </c>
      <c r="F1105" s="60">
        <v>2311</v>
      </c>
      <c r="G1105" s="32">
        <v>5340</v>
      </c>
      <c r="H1105" s="210">
        <v>40679</v>
      </c>
      <c r="I1105" s="90">
        <v>0</v>
      </c>
      <c r="J1105" s="90">
        <f t="shared" si="34"/>
        <v>5340</v>
      </c>
      <c r="K1105" s="90" t="str">
        <f t="shared" si="33"/>
        <v>ATRASADO</v>
      </c>
    </row>
    <row r="1106" spans="2:11">
      <c r="B1106" s="36">
        <v>40679</v>
      </c>
      <c r="C1106" s="35" t="s">
        <v>214</v>
      </c>
      <c r="D1106" s="13" t="s">
        <v>211</v>
      </c>
      <c r="E1106" s="19" t="s">
        <v>207</v>
      </c>
      <c r="F1106" s="60">
        <v>2311</v>
      </c>
      <c r="G1106" s="32">
        <v>5340</v>
      </c>
      <c r="H1106" s="210">
        <v>40679</v>
      </c>
      <c r="I1106" s="90">
        <v>0</v>
      </c>
      <c r="J1106" s="90">
        <f t="shared" si="34"/>
        <v>5340</v>
      </c>
      <c r="K1106" s="90" t="str">
        <f t="shared" si="33"/>
        <v>ATRASADO</v>
      </c>
    </row>
    <row r="1107" spans="2:11">
      <c r="B1107" s="36">
        <v>40679</v>
      </c>
      <c r="C1107" s="35" t="s">
        <v>215</v>
      </c>
      <c r="D1107" s="13" t="s">
        <v>211</v>
      </c>
      <c r="E1107" s="19" t="s">
        <v>207</v>
      </c>
      <c r="F1107" s="60">
        <v>2311</v>
      </c>
      <c r="G1107" s="32">
        <v>5550</v>
      </c>
      <c r="H1107" s="210">
        <v>40679</v>
      </c>
      <c r="I1107" s="90">
        <v>0</v>
      </c>
      <c r="J1107" s="90">
        <f t="shared" si="34"/>
        <v>5550</v>
      </c>
      <c r="K1107" s="90" t="str">
        <f t="shared" si="33"/>
        <v>ATRASADO</v>
      </c>
    </row>
    <row r="1108" spans="2:11">
      <c r="B1108" s="36">
        <v>40809</v>
      </c>
      <c r="C1108" s="35" t="s">
        <v>216</v>
      </c>
      <c r="D1108" s="13" t="s">
        <v>211</v>
      </c>
      <c r="E1108" s="19" t="s">
        <v>207</v>
      </c>
      <c r="F1108" s="60">
        <v>2311</v>
      </c>
      <c r="G1108" s="32">
        <v>5250</v>
      </c>
      <c r="H1108" s="210">
        <v>40809</v>
      </c>
      <c r="I1108" s="90">
        <v>0</v>
      </c>
      <c r="J1108" s="90">
        <f t="shared" si="34"/>
        <v>5250</v>
      </c>
      <c r="K1108" s="90" t="str">
        <f t="shared" si="33"/>
        <v>ATRASADO</v>
      </c>
    </row>
    <row r="1109" spans="2:11">
      <c r="B1109" s="36">
        <v>40809</v>
      </c>
      <c r="C1109" s="35" t="s">
        <v>217</v>
      </c>
      <c r="D1109" s="13" t="s">
        <v>211</v>
      </c>
      <c r="E1109" s="19" t="s">
        <v>207</v>
      </c>
      <c r="F1109" s="60">
        <v>2311</v>
      </c>
      <c r="G1109" s="32">
        <v>5250</v>
      </c>
      <c r="H1109" s="210">
        <v>40809</v>
      </c>
      <c r="I1109" s="90">
        <v>0</v>
      </c>
      <c r="J1109" s="90">
        <f t="shared" si="34"/>
        <v>5250</v>
      </c>
      <c r="K1109" s="90" t="str">
        <f t="shared" si="33"/>
        <v>ATRASADO</v>
      </c>
    </row>
    <row r="1110" spans="2:11">
      <c r="B1110" s="36">
        <v>40809</v>
      </c>
      <c r="C1110" s="35" t="s">
        <v>218</v>
      </c>
      <c r="D1110" s="13" t="s">
        <v>211</v>
      </c>
      <c r="E1110" s="19" t="s">
        <v>207</v>
      </c>
      <c r="F1110" s="60">
        <v>2311</v>
      </c>
      <c r="G1110" s="32">
        <v>5250</v>
      </c>
      <c r="H1110" s="210">
        <v>40809</v>
      </c>
      <c r="I1110" s="90">
        <v>0</v>
      </c>
      <c r="J1110" s="90">
        <f t="shared" si="34"/>
        <v>5250</v>
      </c>
      <c r="K1110" s="90" t="str">
        <f t="shared" si="33"/>
        <v>ATRASADO</v>
      </c>
    </row>
    <row r="1111" spans="2:11">
      <c r="B1111" s="36">
        <v>40809</v>
      </c>
      <c r="C1111" s="35" t="s">
        <v>219</v>
      </c>
      <c r="D1111" s="13" t="s">
        <v>211</v>
      </c>
      <c r="E1111" s="19" t="s">
        <v>207</v>
      </c>
      <c r="F1111" s="60">
        <v>2311</v>
      </c>
      <c r="G1111" s="32">
        <v>5250</v>
      </c>
      <c r="H1111" s="210">
        <v>40809</v>
      </c>
      <c r="I1111" s="90">
        <v>0</v>
      </c>
      <c r="J1111" s="90">
        <f t="shared" si="34"/>
        <v>5250</v>
      </c>
      <c r="K1111" s="90" t="str">
        <f t="shared" si="33"/>
        <v>ATRASADO</v>
      </c>
    </row>
    <row r="1112" spans="2:11">
      <c r="B1112" s="36">
        <v>40833</v>
      </c>
      <c r="C1112" s="35" t="s">
        <v>220</v>
      </c>
      <c r="D1112" s="13" t="s">
        <v>211</v>
      </c>
      <c r="E1112" s="19" t="s">
        <v>207</v>
      </c>
      <c r="F1112" s="60">
        <v>2311</v>
      </c>
      <c r="G1112" s="32">
        <v>5250</v>
      </c>
      <c r="H1112" s="210">
        <v>40833</v>
      </c>
      <c r="I1112" s="90">
        <v>0</v>
      </c>
      <c r="J1112" s="90">
        <f t="shared" si="34"/>
        <v>5250</v>
      </c>
      <c r="K1112" s="90" t="str">
        <f t="shared" si="33"/>
        <v>ATRASADO</v>
      </c>
    </row>
    <row r="1113" spans="2:11">
      <c r="B1113" s="36">
        <v>40833</v>
      </c>
      <c r="C1113" s="35" t="s">
        <v>221</v>
      </c>
      <c r="D1113" s="13" t="s">
        <v>211</v>
      </c>
      <c r="E1113" s="19" t="s">
        <v>207</v>
      </c>
      <c r="F1113" s="60">
        <v>2311</v>
      </c>
      <c r="G1113" s="32">
        <v>5250</v>
      </c>
      <c r="H1113" s="210">
        <v>40833</v>
      </c>
      <c r="I1113" s="90">
        <v>0</v>
      </c>
      <c r="J1113" s="90">
        <f t="shared" si="34"/>
        <v>5250</v>
      </c>
      <c r="K1113" s="90" t="str">
        <f t="shared" si="33"/>
        <v>ATRASADO</v>
      </c>
    </row>
    <row r="1114" spans="2:11">
      <c r="B1114" s="36">
        <v>40833</v>
      </c>
      <c r="C1114" s="35" t="s">
        <v>222</v>
      </c>
      <c r="D1114" s="13" t="s">
        <v>211</v>
      </c>
      <c r="E1114" s="19" t="s">
        <v>207</v>
      </c>
      <c r="F1114" s="60">
        <v>2311</v>
      </c>
      <c r="G1114" s="32">
        <v>4200</v>
      </c>
      <c r="H1114" s="210">
        <v>40833</v>
      </c>
      <c r="I1114" s="90">
        <v>0</v>
      </c>
      <c r="J1114" s="90">
        <f t="shared" si="34"/>
        <v>4200</v>
      </c>
      <c r="K1114" s="90" t="str">
        <f t="shared" si="33"/>
        <v>ATRASADO</v>
      </c>
    </row>
    <row r="1115" spans="2:11">
      <c r="B1115" s="36">
        <v>40833</v>
      </c>
      <c r="C1115" s="35" t="s">
        <v>223</v>
      </c>
      <c r="D1115" s="13" t="s">
        <v>211</v>
      </c>
      <c r="E1115" s="19" t="s">
        <v>207</v>
      </c>
      <c r="F1115" s="60">
        <v>2311</v>
      </c>
      <c r="G1115" s="32">
        <v>4322.1499999999996</v>
      </c>
      <c r="H1115" s="210">
        <v>40833</v>
      </c>
      <c r="I1115" s="90">
        <v>0</v>
      </c>
      <c r="J1115" s="90">
        <f t="shared" si="34"/>
        <v>4322.1499999999996</v>
      </c>
      <c r="K1115" s="90" t="str">
        <f t="shared" si="33"/>
        <v>ATRASADO</v>
      </c>
    </row>
    <row r="1116" spans="2:11">
      <c r="B1116" s="36"/>
      <c r="C1116" s="35"/>
      <c r="D1116" s="13"/>
      <c r="E1116" s="19"/>
      <c r="F1116" s="60"/>
      <c r="G1116" s="32"/>
      <c r="H1116" s="210"/>
      <c r="I1116" s="90"/>
      <c r="J1116" s="90" t="str">
        <f t="shared" si="34"/>
        <v/>
      </c>
      <c r="K1116" s="90"/>
    </row>
    <row r="1117" spans="2:11">
      <c r="B1117" s="36">
        <v>40652</v>
      </c>
      <c r="C1117" s="12" t="s">
        <v>401</v>
      </c>
      <c r="D1117" s="13" t="s">
        <v>402</v>
      </c>
      <c r="E1117" s="19" t="s">
        <v>403</v>
      </c>
      <c r="F1117" s="60">
        <v>2258</v>
      </c>
      <c r="G1117" s="32">
        <v>14784</v>
      </c>
      <c r="H1117" s="210">
        <v>40652</v>
      </c>
      <c r="I1117" s="90">
        <v>0</v>
      </c>
      <c r="J1117" s="90">
        <f t="shared" si="34"/>
        <v>14784</v>
      </c>
      <c r="K1117" s="90" t="str">
        <f t="shared" si="33"/>
        <v>ATRASADO</v>
      </c>
    </row>
    <row r="1118" spans="2:11">
      <c r="B1118" s="36">
        <v>40652</v>
      </c>
      <c r="C1118" s="12" t="s">
        <v>404</v>
      </c>
      <c r="D1118" s="13" t="s">
        <v>402</v>
      </c>
      <c r="E1118" s="19" t="s">
        <v>403</v>
      </c>
      <c r="F1118" s="60">
        <v>2258</v>
      </c>
      <c r="G1118" s="32">
        <v>6784</v>
      </c>
      <c r="H1118" s="210">
        <v>40652</v>
      </c>
      <c r="I1118" s="90">
        <v>0</v>
      </c>
      <c r="J1118" s="90">
        <f t="shared" si="34"/>
        <v>6784</v>
      </c>
      <c r="K1118" s="90" t="str">
        <f t="shared" si="33"/>
        <v>ATRASADO</v>
      </c>
    </row>
    <row r="1119" spans="2:11">
      <c r="B1119" s="10">
        <v>40910</v>
      </c>
      <c r="C1119" s="12">
        <v>1501547576</v>
      </c>
      <c r="D1119" s="13" t="s">
        <v>402</v>
      </c>
      <c r="E1119" s="19" t="s">
        <v>433</v>
      </c>
      <c r="F1119" s="60">
        <v>2258</v>
      </c>
      <c r="G1119" s="32">
        <v>21576</v>
      </c>
      <c r="H1119" s="210">
        <v>40910</v>
      </c>
      <c r="I1119" s="90">
        <v>0</v>
      </c>
      <c r="J1119" s="90">
        <f t="shared" si="34"/>
        <v>21576</v>
      </c>
      <c r="K1119" s="90" t="str">
        <f t="shared" si="33"/>
        <v>ATRASADO</v>
      </c>
    </row>
    <row r="1120" spans="2:11">
      <c r="B1120" s="10">
        <v>40910</v>
      </c>
      <c r="C1120" s="12">
        <v>1501547577</v>
      </c>
      <c r="D1120" s="13" t="s">
        <v>402</v>
      </c>
      <c r="E1120" s="19" t="s">
        <v>433</v>
      </c>
      <c r="F1120" s="60">
        <v>2258</v>
      </c>
      <c r="G1120" s="32">
        <v>21576</v>
      </c>
      <c r="H1120" s="210">
        <v>40910</v>
      </c>
      <c r="I1120" s="90">
        <v>0</v>
      </c>
      <c r="J1120" s="90">
        <f t="shared" si="34"/>
        <v>21576</v>
      </c>
      <c r="K1120" s="90" t="str">
        <f t="shared" si="33"/>
        <v>ATRASADO</v>
      </c>
    </row>
    <row r="1121" spans="2:11">
      <c r="B1121" s="10">
        <v>40910</v>
      </c>
      <c r="C1121" s="12">
        <v>1501547578</v>
      </c>
      <c r="D1121" s="13" t="s">
        <v>402</v>
      </c>
      <c r="E1121" s="19" t="s">
        <v>433</v>
      </c>
      <c r="F1121" s="60">
        <v>2258</v>
      </c>
      <c r="G1121" s="32">
        <v>21576</v>
      </c>
      <c r="H1121" s="210">
        <v>40910</v>
      </c>
      <c r="I1121" s="90">
        <v>0</v>
      </c>
      <c r="J1121" s="90">
        <f t="shared" si="34"/>
        <v>21576</v>
      </c>
      <c r="K1121" s="90" t="str">
        <f t="shared" si="33"/>
        <v>ATRASADO</v>
      </c>
    </row>
    <row r="1122" spans="2:11">
      <c r="B1122" s="10">
        <v>40910</v>
      </c>
      <c r="C1122" s="12">
        <v>1501547579</v>
      </c>
      <c r="D1122" s="13" t="s">
        <v>402</v>
      </c>
      <c r="E1122" s="19" t="s">
        <v>433</v>
      </c>
      <c r="F1122" s="60">
        <v>2258</v>
      </c>
      <c r="G1122" s="32">
        <v>21576</v>
      </c>
      <c r="H1122" s="210">
        <v>40910</v>
      </c>
      <c r="I1122" s="90">
        <v>0</v>
      </c>
      <c r="J1122" s="90">
        <f t="shared" si="34"/>
        <v>21576</v>
      </c>
      <c r="K1122" s="90" t="str">
        <f t="shared" si="33"/>
        <v>ATRASADO</v>
      </c>
    </row>
    <row r="1123" spans="2:11">
      <c r="B1123" s="10">
        <v>40918</v>
      </c>
      <c r="C1123" s="12">
        <v>1501547572</v>
      </c>
      <c r="D1123" s="13" t="s">
        <v>402</v>
      </c>
      <c r="E1123" s="19" t="s">
        <v>433</v>
      </c>
      <c r="F1123" s="60">
        <v>2258</v>
      </c>
      <c r="G1123" s="32">
        <v>20088</v>
      </c>
      <c r="H1123" s="210">
        <v>40918</v>
      </c>
      <c r="I1123" s="90">
        <v>0</v>
      </c>
      <c r="J1123" s="90">
        <f t="shared" si="34"/>
        <v>20088</v>
      </c>
      <c r="K1123" s="90" t="str">
        <f t="shared" si="33"/>
        <v>ATRASADO</v>
      </c>
    </row>
    <row r="1124" spans="2:11">
      <c r="B1124" s="10">
        <v>40918</v>
      </c>
      <c r="C1124" s="12">
        <v>1501547573</v>
      </c>
      <c r="D1124" s="13" t="s">
        <v>402</v>
      </c>
      <c r="E1124" s="19" t="s">
        <v>433</v>
      </c>
      <c r="F1124" s="60">
        <v>2258</v>
      </c>
      <c r="G1124" s="32">
        <v>20088</v>
      </c>
      <c r="H1124" s="210">
        <v>40918</v>
      </c>
      <c r="I1124" s="90">
        <v>0</v>
      </c>
      <c r="J1124" s="90">
        <f t="shared" si="34"/>
        <v>20088</v>
      </c>
      <c r="K1124" s="90" t="str">
        <f t="shared" si="33"/>
        <v>ATRASADO</v>
      </c>
    </row>
    <row r="1125" spans="2:11">
      <c r="B1125" s="10">
        <v>40918</v>
      </c>
      <c r="C1125" s="12">
        <v>1501547574</v>
      </c>
      <c r="D1125" s="13" t="s">
        <v>402</v>
      </c>
      <c r="E1125" s="19" t="s">
        <v>433</v>
      </c>
      <c r="F1125" s="60">
        <v>2258</v>
      </c>
      <c r="G1125" s="32">
        <v>20088</v>
      </c>
      <c r="H1125" s="210">
        <v>40918</v>
      </c>
      <c r="I1125" s="90">
        <v>0</v>
      </c>
      <c r="J1125" s="90">
        <f t="shared" si="34"/>
        <v>20088</v>
      </c>
      <c r="K1125" s="90" t="str">
        <f t="shared" si="33"/>
        <v>ATRASADO</v>
      </c>
    </row>
    <row r="1126" spans="2:11">
      <c r="B1126" s="10">
        <v>40918</v>
      </c>
      <c r="C1126" s="12">
        <v>1501547575</v>
      </c>
      <c r="D1126" s="13" t="s">
        <v>402</v>
      </c>
      <c r="E1126" s="19" t="s">
        <v>433</v>
      </c>
      <c r="F1126" s="60">
        <v>2258</v>
      </c>
      <c r="G1126" s="32">
        <v>31088</v>
      </c>
      <c r="H1126" s="210">
        <v>40918</v>
      </c>
      <c r="I1126" s="90">
        <v>0</v>
      </c>
      <c r="J1126" s="90">
        <f t="shared" si="34"/>
        <v>31088</v>
      </c>
      <c r="K1126" s="90" t="str">
        <f t="shared" si="33"/>
        <v>ATRASADO</v>
      </c>
    </row>
    <row r="1127" spans="2:11">
      <c r="B1127" s="10"/>
      <c r="C1127" s="12"/>
      <c r="D1127" s="13"/>
      <c r="E1127" s="19"/>
      <c r="F1127" s="60"/>
      <c r="G1127" s="32"/>
      <c r="H1127" s="210"/>
      <c r="I1127" s="90"/>
      <c r="J1127" s="90" t="str">
        <f t="shared" si="34"/>
        <v/>
      </c>
      <c r="K1127" s="90"/>
    </row>
    <row r="1128" spans="2:11" ht="24.75">
      <c r="B1128" s="11">
        <v>40543</v>
      </c>
      <c r="C1128" s="18" t="s">
        <v>252</v>
      </c>
      <c r="D1128" s="13" t="s">
        <v>249</v>
      </c>
      <c r="E1128" s="19" t="s">
        <v>250</v>
      </c>
      <c r="F1128" s="60">
        <v>2271</v>
      </c>
      <c r="G1128" s="32">
        <v>3549870.4</v>
      </c>
      <c r="H1128" s="87">
        <v>40543</v>
      </c>
      <c r="I1128" s="90">
        <v>0</v>
      </c>
      <c r="J1128" s="90">
        <f t="shared" si="34"/>
        <v>3549870.4</v>
      </c>
      <c r="K1128" s="90" t="str">
        <f t="shared" si="33"/>
        <v>ATRASADO</v>
      </c>
    </row>
    <row r="1129" spans="2:11">
      <c r="B1129" s="11"/>
      <c r="C1129" s="18"/>
      <c r="D1129" s="13"/>
      <c r="E1129" s="19"/>
      <c r="F1129" s="60"/>
      <c r="G1129" s="32"/>
      <c r="H1129" s="87"/>
      <c r="I1129" s="90"/>
      <c r="J1129" s="90" t="str">
        <f t="shared" si="34"/>
        <v/>
      </c>
      <c r="K1129" s="90"/>
    </row>
    <row r="1130" spans="2:11" ht="24.75">
      <c r="B1130" s="36">
        <v>40543</v>
      </c>
      <c r="C1130" s="12" t="s">
        <v>505</v>
      </c>
      <c r="D1130" s="13" t="s">
        <v>504</v>
      </c>
      <c r="E1130" s="19" t="s">
        <v>102</v>
      </c>
      <c r="F1130" s="60">
        <v>2221</v>
      </c>
      <c r="G1130" s="32">
        <v>232000</v>
      </c>
      <c r="H1130" s="210">
        <v>40543</v>
      </c>
      <c r="I1130" s="90">
        <v>0</v>
      </c>
      <c r="J1130" s="90">
        <f t="shared" si="34"/>
        <v>232000</v>
      </c>
      <c r="K1130" s="90" t="str">
        <f t="shared" si="33"/>
        <v>ATRASADO</v>
      </c>
    </row>
    <row r="1131" spans="2:11" ht="24.75">
      <c r="B1131" s="36">
        <v>39917</v>
      </c>
      <c r="C1131" s="12" t="s">
        <v>506</v>
      </c>
      <c r="D1131" s="13" t="s">
        <v>504</v>
      </c>
      <c r="E1131" s="19" t="s">
        <v>102</v>
      </c>
      <c r="F1131" s="60">
        <v>2221</v>
      </c>
      <c r="G1131" s="32">
        <v>109400</v>
      </c>
      <c r="H1131" s="210">
        <v>39917</v>
      </c>
      <c r="I1131" s="90">
        <v>0</v>
      </c>
      <c r="J1131" s="90">
        <f t="shared" si="34"/>
        <v>109400</v>
      </c>
      <c r="K1131" s="90" t="str">
        <f t="shared" si="33"/>
        <v>ATRASADO</v>
      </c>
    </row>
    <row r="1132" spans="2:11" ht="24.75">
      <c r="B1132" s="36">
        <v>40463</v>
      </c>
      <c r="C1132" s="12" t="s">
        <v>507</v>
      </c>
      <c r="D1132" s="13" t="s">
        <v>504</v>
      </c>
      <c r="E1132" s="19" t="s">
        <v>102</v>
      </c>
      <c r="F1132" s="60">
        <v>2221</v>
      </c>
      <c r="G1132" s="32">
        <v>36818.400000000001</v>
      </c>
      <c r="H1132" s="210">
        <v>40463</v>
      </c>
      <c r="I1132" s="90">
        <v>0</v>
      </c>
      <c r="J1132" s="90">
        <f t="shared" si="34"/>
        <v>36818.400000000001</v>
      </c>
      <c r="K1132" s="90" t="str">
        <f t="shared" si="33"/>
        <v>ATRASADO</v>
      </c>
    </row>
    <row r="1133" spans="2:11">
      <c r="B1133" s="36"/>
      <c r="C1133" s="35"/>
      <c r="D1133" s="13"/>
      <c r="E1133" s="19"/>
      <c r="F1133" s="60"/>
      <c r="G1133" s="32"/>
      <c r="H1133" s="210"/>
      <c r="I1133" s="90"/>
      <c r="J1133" s="90" t="str">
        <f t="shared" si="34"/>
        <v/>
      </c>
      <c r="K1133" s="90" t="str">
        <f t="shared" ref="K1133:K1196" si="35">IF(J1133&gt;0,"ATRASADO","")</f>
        <v>ATRASADO</v>
      </c>
    </row>
    <row r="1134" spans="2:11">
      <c r="B1134" s="36">
        <v>40899</v>
      </c>
      <c r="C1134" s="35" t="s">
        <v>405</v>
      </c>
      <c r="D1134" s="13" t="s">
        <v>406</v>
      </c>
      <c r="E1134" s="19" t="s">
        <v>398</v>
      </c>
      <c r="F1134" s="60">
        <v>2243</v>
      </c>
      <c r="G1134" s="32">
        <v>97758.55</v>
      </c>
      <c r="H1134" s="210">
        <v>40899</v>
      </c>
      <c r="I1134" s="90">
        <v>0</v>
      </c>
      <c r="J1134" s="90">
        <f t="shared" si="34"/>
        <v>97758.55</v>
      </c>
      <c r="K1134" s="90" t="str">
        <f t="shared" si="35"/>
        <v>ATRASADO</v>
      </c>
    </row>
    <row r="1135" spans="2:11">
      <c r="B1135" s="36">
        <v>40872</v>
      </c>
      <c r="C1135" s="35" t="s">
        <v>464</v>
      </c>
      <c r="D1135" s="13" t="s">
        <v>406</v>
      </c>
      <c r="E1135" s="19" t="s">
        <v>398</v>
      </c>
      <c r="F1135" s="60">
        <v>2243</v>
      </c>
      <c r="G1135" s="32">
        <v>47347.15</v>
      </c>
      <c r="H1135" s="210">
        <v>40899</v>
      </c>
      <c r="I1135" s="90">
        <v>0</v>
      </c>
      <c r="J1135" s="90">
        <f t="shared" si="34"/>
        <v>47347.15</v>
      </c>
      <c r="K1135" s="90" t="str">
        <f t="shared" si="35"/>
        <v>ATRASADO</v>
      </c>
    </row>
    <row r="1136" spans="2:11">
      <c r="B1136" s="36">
        <v>40857</v>
      </c>
      <c r="C1136" s="35" t="s">
        <v>407</v>
      </c>
      <c r="D1136" s="13" t="s">
        <v>406</v>
      </c>
      <c r="E1136" s="19" t="s">
        <v>398</v>
      </c>
      <c r="F1136" s="60">
        <v>2243</v>
      </c>
      <c r="G1136" s="32">
        <v>64947.79</v>
      </c>
      <c r="H1136" s="210">
        <v>40857</v>
      </c>
      <c r="I1136" s="90">
        <v>0</v>
      </c>
      <c r="J1136" s="90">
        <f t="shared" si="34"/>
        <v>64947.79</v>
      </c>
      <c r="K1136" s="90" t="str">
        <f t="shared" si="35"/>
        <v>ATRASADO</v>
      </c>
    </row>
    <row r="1137" spans="2:11">
      <c r="B1137" s="36">
        <v>40841</v>
      </c>
      <c r="C1137" s="35" t="s">
        <v>408</v>
      </c>
      <c r="D1137" s="13" t="s">
        <v>406</v>
      </c>
      <c r="E1137" s="19" t="s">
        <v>398</v>
      </c>
      <c r="F1137" s="60">
        <v>2243</v>
      </c>
      <c r="G1137" s="32">
        <v>63752.53</v>
      </c>
      <c r="H1137" s="210">
        <v>40841</v>
      </c>
      <c r="I1137" s="90">
        <v>0</v>
      </c>
      <c r="J1137" s="90">
        <f t="shared" si="34"/>
        <v>63752.53</v>
      </c>
      <c r="K1137" s="90" t="str">
        <f t="shared" si="35"/>
        <v>ATRASADO</v>
      </c>
    </row>
    <row r="1138" spans="2:11" s="14" customFormat="1">
      <c r="B1138" s="36">
        <v>40796</v>
      </c>
      <c r="C1138" s="35" t="s">
        <v>409</v>
      </c>
      <c r="D1138" s="13" t="s">
        <v>406</v>
      </c>
      <c r="E1138" s="19" t="s">
        <v>398</v>
      </c>
      <c r="F1138" s="60">
        <v>2243</v>
      </c>
      <c r="G1138" s="32">
        <v>63723.519999999997</v>
      </c>
      <c r="H1138" s="210">
        <v>40796</v>
      </c>
      <c r="I1138" s="90">
        <v>0</v>
      </c>
      <c r="J1138" s="90">
        <f t="shared" si="34"/>
        <v>63723.519999999997</v>
      </c>
      <c r="K1138" s="90" t="str">
        <f t="shared" si="35"/>
        <v>ATRASADO</v>
      </c>
    </row>
    <row r="1139" spans="2:11">
      <c r="B1139" s="36">
        <v>40826</v>
      </c>
      <c r="C1139" s="35" t="s">
        <v>410</v>
      </c>
      <c r="D1139" s="13" t="s">
        <v>406</v>
      </c>
      <c r="E1139" s="19" t="s">
        <v>398</v>
      </c>
      <c r="F1139" s="60">
        <v>2243</v>
      </c>
      <c r="G1139" s="32">
        <v>14142.43</v>
      </c>
      <c r="H1139" s="210">
        <v>40826</v>
      </c>
      <c r="I1139" s="90">
        <v>0</v>
      </c>
      <c r="J1139" s="90">
        <f t="shared" si="34"/>
        <v>14142.43</v>
      </c>
      <c r="K1139" s="90" t="str">
        <f t="shared" si="35"/>
        <v>ATRASADO</v>
      </c>
    </row>
    <row r="1140" spans="2:11">
      <c r="B1140" s="36"/>
      <c r="C1140" s="35"/>
      <c r="D1140" s="13"/>
      <c r="E1140" s="19"/>
      <c r="F1140" s="60"/>
      <c r="G1140" s="32"/>
      <c r="H1140" s="210"/>
      <c r="I1140" s="90"/>
      <c r="J1140" s="90" t="str">
        <f t="shared" si="34"/>
        <v/>
      </c>
      <c r="K1140" s="90"/>
    </row>
    <row r="1141" spans="2:11">
      <c r="B1141" s="11" t="s">
        <v>286</v>
      </c>
      <c r="C1141" s="21" t="s">
        <v>255</v>
      </c>
      <c r="D1141" s="13" t="s">
        <v>285</v>
      </c>
      <c r="E1141" s="19" t="s">
        <v>6</v>
      </c>
      <c r="F1141" s="60">
        <v>2254</v>
      </c>
      <c r="G1141" s="32">
        <v>37800</v>
      </c>
      <c r="H1141" s="87" t="s">
        <v>286</v>
      </c>
      <c r="I1141" s="90">
        <v>0</v>
      </c>
      <c r="J1141" s="90">
        <f t="shared" si="34"/>
        <v>37800</v>
      </c>
      <c r="K1141" s="90" t="str">
        <f t="shared" si="35"/>
        <v>ATRASADO</v>
      </c>
    </row>
    <row r="1142" spans="2:11">
      <c r="B1142" s="11">
        <v>40359</v>
      </c>
      <c r="C1142" s="21" t="s">
        <v>258</v>
      </c>
      <c r="D1142" s="13" t="s">
        <v>285</v>
      </c>
      <c r="E1142" s="19" t="s">
        <v>6</v>
      </c>
      <c r="F1142" s="60">
        <v>2254</v>
      </c>
      <c r="G1142" s="32">
        <v>39600</v>
      </c>
      <c r="H1142" s="87">
        <v>40359</v>
      </c>
      <c r="I1142" s="90">
        <v>0</v>
      </c>
      <c r="J1142" s="90">
        <f t="shared" si="34"/>
        <v>39600</v>
      </c>
      <c r="K1142" s="90" t="str">
        <f t="shared" si="35"/>
        <v>ATRASADO</v>
      </c>
    </row>
    <row r="1143" spans="2:11">
      <c r="B1143" s="11">
        <v>40390</v>
      </c>
      <c r="C1143" s="21" t="s">
        <v>259</v>
      </c>
      <c r="D1143" s="13" t="s">
        <v>285</v>
      </c>
      <c r="E1143" s="19" t="s">
        <v>6</v>
      </c>
      <c r="F1143" s="60">
        <v>2254</v>
      </c>
      <c r="G1143" s="32">
        <v>14400</v>
      </c>
      <c r="H1143" s="87">
        <v>40390</v>
      </c>
      <c r="I1143" s="90">
        <v>0</v>
      </c>
      <c r="J1143" s="90">
        <f t="shared" si="34"/>
        <v>14400</v>
      </c>
      <c r="K1143" s="90" t="str">
        <f t="shared" si="35"/>
        <v>ATRASADO</v>
      </c>
    </row>
    <row r="1144" spans="2:11">
      <c r="B1144" s="11"/>
      <c r="C1144" s="21"/>
      <c r="D1144" s="13"/>
      <c r="E1144" s="19"/>
      <c r="F1144" s="60"/>
      <c r="G1144" s="32"/>
      <c r="H1144" s="87"/>
      <c r="I1144" s="90"/>
      <c r="J1144" s="90" t="str">
        <f t="shared" si="34"/>
        <v/>
      </c>
      <c r="K1144" s="90"/>
    </row>
    <row r="1145" spans="2:11">
      <c r="B1145" s="36">
        <v>40847</v>
      </c>
      <c r="C1145" s="35" t="s">
        <v>411</v>
      </c>
      <c r="D1145" s="13" t="s">
        <v>412</v>
      </c>
      <c r="E1145" s="19" t="s">
        <v>138</v>
      </c>
      <c r="F1145" s="60">
        <v>2332</v>
      </c>
      <c r="G1145" s="32">
        <v>38104.33</v>
      </c>
      <c r="H1145" s="210">
        <v>40847</v>
      </c>
      <c r="I1145" s="90">
        <v>0</v>
      </c>
      <c r="J1145" s="90">
        <f t="shared" si="34"/>
        <v>38104.33</v>
      </c>
      <c r="K1145" s="90" t="str">
        <f t="shared" si="35"/>
        <v>ATRASADO</v>
      </c>
    </row>
    <row r="1146" spans="2:11">
      <c r="B1146" s="36"/>
      <c r="C1146" s="35"/>
      <c r="D1146" s="13"/>
      <c r="E1146" s="19"/>
      <c r="F1146" s="60"/>
      <c r="G1146" s="32"/>
      <c r="H1146" s="210"/>
      <c r="I1146" s="90"/>
      <c r="J1146" s="90" t="str">
        <f t="shared" si="34"/>
        <v/>
      </c>
      <c r="K1146" s="90"/>
    </row>
    <row r="1147" spans="2:11">
      <c r="B1147" s="36">
        <v>40217</v>
      </c>
      <c r="C1147" s="35" t="s">
        <v>509</v>
      </c>
      <c r="D1147" s="13" t="s">
        <v>508</v>
      </c>
      <c r="E1147" s="19" t="s">
        <v>134</v>
      </c>
      <c r="F1147" s="60">
        <v>2287</v>
      </c>
      <c r="G1147" s="32">
        <v>252250</v>
      </c>
      <c r="H1147" s="210">
        <v>40217</v>
      </c>
      <c r="I1147" s="90">
        <v>0</v>
      </c>
      <c r="J1147" s="90">
        <f t="shared" si="34"/>
        <v>252250</v>
      </c>
      <c r="K1147" s="90" t="str">
        <f t="shared" si="35"/>
        <v>ATRASADO</v>
      </c>
    </row>
    <row r="1148" spans="2:11">
      <c r="B1148" s="36"/>
      <c r="C1148" s="35"/>
      <c r="D1148" s="13"/>
      <c r="E1148" s="19"/>
      <c r="F1148" s="60"/>
      <c r="G1148" s="32"/>
      <c r="H1148" s="210"/>
      <c r="I1148" s="90"/>
      <c r="J1148" s="90" t="str">
        <f t="shared" si="34"/>
        <v/>
      </c>
      <c r="K1148" s="90"/>
    </row>
    <row r="1149" spans="2:11">
      <c r="B1149" s="36">
        <v>40283</v>
      </c>
      <c r="C1149" s="35" t="s">
        <v>559</v>
      </c>
      <c r="D1149" s="13" t="s">
        <v>558</v>
      </c>
      <c r="E1149" s="19" t="s">
        <v>561</v>
      </c>
      <c r="F1149" s="60">
        <v>2272</v>
      </c>
      <c r="G1149" s="32">
        <v>22953</v>
      </c>
      <c r="H1149" s="210">
        <v>40283</v>
      </c>
      <c r="I1149" s="90">
        <v>0</v>
      </c>
      <c r="J1149" s="90">
        <f t="shared" si="34"/>
        <v>22953</v>
      </c>
      <c r="K1149" s="90" t="str">
        <f t="shared" si="35"/>
        <v>ATRASADO</v>
      </c>
    </row>
    <row r="1150" spans="2:11">
      <c r="B1150" s="36">
        <v>40333</v>
      </c>
      <c r="C1150" s="35" t="s">
        <v>560</v>
      </c>
      <c r="D1150" s="13" t="s">
        <v>558</v>
      </c>
      <c r="E1150" s="19" t="s">
        <v>561</v>
      </c>
      <c r="F1150" s="60">
        <v>2272</v>
      </c>
      <c r="G1150" s="32">
        <v>7047</v>
      </c>
      <c r="H1150" s="210">
        <v>40333</v>
      </c>
      <c r="I1150" s="90">
        <v>0</v>
      </c>
      <c r="J1150" s="90">
        <f t="shared" si="34"/>
        <v>7047</v>
      </c>
      <c r="K1150" s="90" t="str">
        <f t="shared" si="35"/>
        <v>ATRASADO</v>
      </c>
    </row>
    <row r="1151" spans="2:11">
      <c r="B1151" s="36"/>
      <c r="C1151" s="35"/>
      <c r="D1151" s="13"/>
      <c r="E1151" s="19"/>
      <c r="F1151" s="60"/>
      <c r="G1151" s="32"/>
      <c r="H1151" s="210"/>
      <c r="I1151" s="90"/>
      <c r="J1151" s="90" t="str">
        <f t="shared" si="34"/>
        <v/>
      </c>
      <c r="K1151" s="90"/>
    </row>
    <row r="1152" spans="2:11" ht="24.75">
      <c r="B1152" s="36">
        <v>40754</v>
      </c>
      <c r="C1152" s="35" t="s">
        <v>413</v>
      </c>
      <c r="D1152" s="13" t="s">
        <v>414</v>
      </c>
      <c r="E1152" s="19" t="s">
        <v>415</v>
      </c>
      <c r="F1152" s="60">
        <v>2287</v>
      </c>
      <c r="G1152" s="32">
        <v>30000</v>
      </c>
      <c r="H1152" s="210">
        <v>40754</v>
      </c>
      <c r="I1152" s="90">
        <v>0</v>
      </c>
      <c r="J1152" s="90">
        <f t="shared" si="34"/>
        <v>30000</v>
      </c>
      <c r="K1152" s="90" t="str">
        <f t="shared" si="35"/>
        <v>ATRASADO</v>
      </c>
    </row>
    <row r="1153" spans="2:11">
      <c r="B1153" s="36"/>
      <c r="C1153" s="35"/>
      <c r="D1153" s="13"/>
      <c r="E1153" s="19"/>
      <c r="F1153" s="60"/>
      <c r="G1153" s="32"/>
      <c r="H1153" s="210"/>
      <c r="I1153" s="90"/>
      <c r="J1153" s="90" t="str">
        <f t="shared" si="34"/>
        <v/>
      </c>
      <c r="K1153" s="90"/>
    </row>
    <row r="1154" spans="2:11">
      <c r="B1154" s="11">
        <v>40359</v>
      </c>
      <c r="C1154" s="21" t="s">
        <v>258</v>
      </c>
      <c r="D1154" s="13" t="s">
        <v>287</v>
      </c>
      <c r="E1154" s="19" t="s">
        <v>6</v>
      </c>
      <c r="F1154" s="60">
        <v>2254</v>
      </c>
      <c r="G1154" s="32">
        <v>48400</v>
      </c>
      <c r="H1154" s="87">
        <v>40359</v>
      </c>
      <c r="I1154" s="90">
        <v>0</v>
      </c>
      <c r="J1154" s="90">
        <f t="shared" si="34"/>
        <v>48400</v>
      </c>
      <c r="K1154" s="90" t="str">
        <f t="shared" si="35"/>
        <v>ATRASADO</v>
      </c>
    </row>
    <row r="1155" spans="2:11">
      <c r="B1155" s="11">
        <v>40390</v>
      </c>
      <c r="C1155" s="21" t="s">
        <v>259</v>
      </c>
      <c r="D1155" s="13" t="s">
        <v>287</v>
      </c>
      <c r="E1155" s="19" t="s">
        <v>6</v>
      </c>
      <c r="F1155" s="60">
        <v>2254</v>
      </c>
      <c r="G1155" s="32">
        <v>17600</v>
      </c>
      <c r="H1155" s="87">
        <v>40390</v>
      </c>
      <c r="I1155" s="90">
        <v>0</v>
      </c>
      <c r="J1155" s="90">
        <f t="shared" si="34"/>
        <v>17600</v>
      </c>
      <c r="K1155" s="90" t="str">
        <f t="shared" si="35"/>
        <v>ATRASADO</v>
      </c>
    </row>
    <row r="1156" spans="2:11">
      <c r="B1156" s="11"/>
      <c r="C1156" s="21"/>
      <c r="D1156" s="13"/>
      <c r="E1156" s="19"/>
      <c r="F1156" s="60"/>
      <c r="G1156" s="32"/>
      <c r="H1156" s="87"/>
      <c r="I1156" s="90"/>
      <c r="J1156" s="90" t="str">
        <f t="shared" si="34"/>
        <v/>
      </c>
      <c r="K1156" s="90"/>
    </row>
    <row r="1157" spans="2:11">
      <c r="B1157" s="10">
        <v>38668</v>
      </c>
      <c r="C1157" s="16">
        <v>236706</v>
      </c>
      <c r="D1157" s="13" t="s">
        <v>224</v>
      </c>
      <c r="E1157" s="19" t="s">
        <v>207</v>
      </c>
      <c r="F1157" s="60">
        <v>2311</v>
      </c>
      <c r="G1157" s="32">
        <v>897741.4</v>
      </c>
      <c r="H1157" s="208">
        <v>38668</v>
      </c>
      <c r="I1157" s="90">
        <v>0</v>
      </c>
      <c r="J1157" s="90">
        <f t="shared" si="34"/>
        <v>897741.4</v>
      </c>
      <c r="K1157" s="90" t="str">
        <f t="shared" si="35"/>
        <v>ATRASADO</v>
      </c>
    </row>
    <row r="1158" spans="2:11">
      <c r="B1158" s="10">
        <v>38674</v>
      </c>
      <c r="C1158" s="16">
        <v>236970</v>
      </c>
      <c r="D1158" s="13" t="s">
        <v>224</v>
      </c>
      <c r="E1158" s="19" t="s">
        <v>207</v>
      </c>
      <c r="F1158" s="60">
        <v>2311</v>
      </c>
      <c r="G1158" s="32">
        <v>418841.2</v>
      </c>
      <c r="H1158" s="208">
        <v>38674</v>
      </c>
      <c r="I1158" s="90">
        <v>0</v>
      </c>
      <c r="J1158" s="90">
        <f t="shared" si="34"/>
        <v>418841.2</v>
      </c>
      <c r="K1158" s="90" t="str">
        <f t="shared" si="35"/>
        <v>ATRASADO</v>
      </c>
    </row>
    <row r="1159" spans="2:11">
      <c r="B1159" s="10"/>
      <c r="C1159" s="16"/>
      <c r="D1159" s="13"/>
      <c r="E1159" s="19"/>
      <c r="F1159" s="60"/>
      <c r="G1159" s="32"/>
      <c r="H1159" s="208"/>
      <c r="I1159" s="90"/>
      <c r="J1159" s="90" t="str">
        <f t="shared" si="34"/>
        <v/>
      </c>
      <c r="K1159" s="90"/>
    </row>
    <row r="1160" spans="2:11">
      <c r="B1160" s="11">
        <v>39691</v>
      </c>
      <c r="C1160" s="41" t="s">
        <v>443</v>
      </c>
      <c r="D1160" s="13" t="s">
        <v>476</v>
      </c>
      <c r="E1160" s="19" t="s">
        <v>477</v>
      </c>
      <c r="F1160" s="60"/>
      <c r="G1160" s="32">
        <v>4431262</v>
      </c>
      <c r="H1160" s="87">
        <v>39691</v>
      </c>
      <c r="I1160" s="90">
        <v>0</v>
      </c>
      <c r="J1160" s="90">
        <f t="shared" si="34"/>
        <v>4431262</v>
      </c>
      <c r="K1160" s="90" t="str">
        <f t="shared" si="35"/>
        <v>ATRASADO</v>
      </c>
    </row>
    <row r="1161" spans="2:11">
      <c r="B1161" s="11"/>
      <c r="C1161" s="41"/>
      <c r="D1161" s="13"/>
      <c r="E1161" s="19"/>
      <c r="F1161" s="60"/>
      <c r="G1161" s="32"/>
      <c r="H1161" s="87"/>
      <c r="I1161" s="90"/>
      <c r="J1161" s="90" t="str">
        <f t="shared" si="34"/>
        <v/>
      </c>
      <c r="K1161" s="90"/>
    </row>
    <row r="1162" spans="2:11">
      <c r="B1162" s="11">
        <v>40247</v>
      </c>
      <c r="C1162" s="21" t="s">
        <v>447</v>
      </c>
      <c r="D1162" s="13" t="s">
        <v>290</v>
      </c>
      <c r="E1162" s="19" t="s">
        <v>102</v>
      </c>
      <c r="F1162" s="60">
        <v>2221</v>
      </c>
      <c r="G1162" s="32">
        <v>23200</v>
      </c>
      <c r="H1162" s="87">
        <v>40280</v>
      </c>
      <c r="I1162" s="90">
        <v>0</v>
      </c>
      <c r="J1162" s="90">
        <f t="shared" si="34"/>
        <v>23200</v>
      </c>
      <c r="K1162" s="90" t="str">
        <f t="shared" si="35"/>
        <v>ATRASADO</v>
      </c>
    </row>
    <row r="1163" spans="2:11">
      <c r="B1163" s="11">
        <v>40280</v>
      </c>
      <c r="C1163" s="21" t="s">
        <v>289</v>
      </c>
      <c r="D1163" s="13" t="s">
        <v>290</v>
      </c>
      <c r="E1163" s="19" t="s">
        <v>102</v>
      </c>
      <c r="F1163" s="60">
        <v>2221</v>
      </c>
      <c r="G1163" s="32">
        <v>23200</v>
      </c>
      <c r="H1163" s="87">
        <v>40280</v>
      </c>
      <c r="I1163" s="90">
        <v>0</v>
      </c>
      <c r="J1163" s="90">
        <f t="shared" si="34"/>
        <v>23200</v>
      </c>
      <c r="K1163" s="90" t="str">
        <f t="shared" si="35"/>
        <v>ATRASADO</v>
      </c>
    </row>
    <row r="1164" spans="2:11">
      <c r="B1164" s="11">
        <v>40310</v>
      </c>
      <c r="C1164" s="21" t="s">
        <v>291</v>
      </c>
      <c r="D1164" s="13" t="s">
        <v>290</v>
      </c>
      <c r="E1164" s="19" t="s">
        <v>102</v>
      </c>
      <c r="F1164" s="60">
        <v>2221</v>
      </c>
      <c r="G1164" s="32">
        <v>23200</v>
      </c>
      <c r="H1164" s="87">
        <v>40310</v>
      </c>
      <c r="I1164" s="90">
        <v>0</v>
      </c>
      <c r="J1164" s="90">
        <f t="shared" si="34"/>
        <v>23200</v>
      </c>
      <c r="K1164" s="90" t="str">
        <f t="shared" si="35"/>
        <v>ATRASADO</v>
      </c>
    </row>
    <row r="1165" spans="2:11">
      <c r="B1165" s="11">
        <v>40343</v>
      </c>
      <c r="C1165" s="21" t="s">
        <v>448</v>
      </c>
      <c r="D1165" s="13" t="s">
        <v>290</v>
      </c>
      <c r="E1165" s="19" t="s">
        <v>102</v>
      </c>
      <c r="F1165" s="60">
        <v>2221</v>
      </c>
      <c r="G1165" s="32">
        <v>23200</v>
      </c>
      <c r="H1165" s="87">
        <v>40343</v>
      </c>
      <c r="I1165" s="90">
        <v>0</v>
      </c>
      <c r="J1165" s="90">
        <f t="shared" si="34"/>
        <v>23200</v>
      </c>
      <c r="K1165" s="90" t="str">
        <f t="shared" si="35"/>
        <v>ATRASADO</v>
      </c>
    </row>
    <row r="1166" spans="2:11">
      <c r="B1166" s="11">
        <v>40379</v>
      </c>
      <c r="C1166" s="21" t="s">
        <v>292</v>
      </c>
      <c r="D1166" s="13" t="s">
        <v>290</v>
      </c>
      <c r="E1166" s="19" t="s">
        <v>102</v>
      </c>
      <c r="F1166" s="60">
        <v>2221</v>
      </c>
      <c r="G1166" s="32">
        <v>23200</v>
      </c>
      <c r="H1166" s="87">
        <v>40379</v>
      </c>
      <c r="I1166" s="90">
        <v>0</v>
      </c>
      <c r="J1166" s="90">
        <f t="shared" si="34"/>
        <v>23200</v>
      </c>
      <c r="K1166" s="90" t="str">
        <f t="shared" si="35"/>
        <v>ATRASADO</v>
      </c>
    </row>
    <row r="1167" spans="2:11">
      <c r="B1167" s="11">
        <v>40403</v>
      </c>
      <c r="C1167" s="21" t="s">
        <v>293</v>
      </c>
      <c r="D1167" s="13" t="s">
        <v>290</v>
      </c>
      <c r="E1167" s="19" t="s">
        <v>102</v>
      </c>
      <c r="F1167" s="60">
        <v>2221</v>
      </c>
      <c r="G1167" s="32">
        <v>23200</v>
      </c>
      <c r="H1167" s="87">
        <v>40403</v>
      </c>
      <c r="I1167" s="90">
        <v>0</v>
      </c>
      <c r="J1167" s="90">
        <f t="shared" si="34"/>
        <v>23200</v>
      </c>
      <c r="K1167" s="90" t="str">
        <f t="shared" si="35"/>
        <v>ATRASADO</v>
      </c>
    </row>
    <row r="1168" spans="2:11">
      <c r="B1168" s="11"/>
      <c r="C1168" s="21"/>
      <c r="D1168" s="13"/>
      <c r="E1168" s="19"/>
      <c r="F1168" s="60"/>
      <c r="G1168" s="32"/>
      <c r="H1168" s="87"/>
      <c r="I1168" s="90"/>
      <c r="J1168" s="90" t="str">
        <f t="shared" ref="J1168:J1231" si="36">IF(G1168&gt;0,G1168,"")</f>
        <v/>
      </c>
      <c r="K1168" s="90"/>
    </row>
    <row r="1169" spans="2:11">
      <c r="B1169" s="11">
        <v>39962</v>
      </c>
      <c r="C1169" s="16" t="s">
        <v>492</v>
      </c>
      <c r="D1169" s="13" t="s">
        <v>491</v>
      </c>
      <c r="E1169" s="19" t="s">
        <v>21</v>
      </c>
      <c r="F1169" s="60">
        <v>2251</v>
      </c>
      <c r="G1169" s="32">
        <v>11700</v>
      </c>
      <c r="H1169" s="87">
        <v>39962</v>
      </c>
      <c r="I1169" s="90">
        <v>0</v>
      </c>
      <c r="J1169" s="90">
        <f t="shared" si="36"/>
        <v>11700</v>
      </c>
      <c r="K1169" s="90" t="str">
        <f t="shared" si="35"/>
        <v>ATRASADO</v>
      </c>
    </row>
    <row r="1170" spans="2:11">
      <c r="B1170" s="11"/>
      <c r="C1170" s="16"/>
      <c r="D1170" s="13"/>
      <c r="E1170" s="19"/>
      <c r="F1170" s="60"/>
      <c r="G1170" s="32"/>
      <c r="H1170" s="87"/>
      <c r="I1170" s="90"/>
      <c r="J1170" s="90" t="str">
        <f t="shared" si="36"/>
        <v/>
      </c>
      <c r="K1170" s="90"/>
    </row>
    <row r="1171" spans="2:11">
      <c r="B1171" s="11">
        <v>40438</v>
      </c>
      <c r="C1171" s="21" t="s">
        <v>566</v>
      </c>
      <c r="D1171" s="13" t="s">
        <v>225</v>
      </c>
      <c r="E1171" s="19" t="s">
        <v>207</v>
      </c>
      <c r="F1171" s="60">
        <v>2311</v>
      </c>
      <c r="G1171" s="32">
        <v>25269.200000000001</v>
      </c>
      <c r="H1171" s="87">
        <v>40438</v>
      </c>
      <c r="I1171" s="90">
        <v>0</v>
      </c>
      <c r="J1171" s="90">
        <f t="shared" si="36"/>
        <v>25269.200000000001</v>
      </c>
      <c r="K1171" s="90" t="str">
        <f t="shared" si="35"/>
        <v>ATRASADO</v>
      </c>
    </row>
    <row r="1172" spans="2:11">
      <c r="B1172" s="11">
        <v>40441</v>
      </c>
      <c r="C1172" s="21" t="s">
        <v>567</v>
      </c>
      <c r="D1172" s="13" t="s">
        <v>225</v>
      </c>
      <c r="E1172" s="19" t="s">
        <v>207</v>
      </c>
      <c r="F1172" s="60">
        <v>2311</v>
      </c>
      <c r="G1172" s="32">
        <v>283904.2</v>
      </c>
      <c r="H1172" s="87">
        <v>40441</v>
      </c>
      <c r="I1172" s="90">
        <v>0</v>
      </c>
      <c r="J1172" s="90">
        <f t="shared" si="36"/>
        <v>283904.2</v>
      </c>
      <c r="K1172" s="90" t="str">
        <f t="shared" si="35"/>
        <v>ATRASADO</v>
      </c>
    </row>
    <row r="1173" spans="2:11">
      <c r="B1173" s="11"/>
      <c r="C1173" s="21"/>
      <c r="D1173" s="13"/>
      <c r="E1173" s="19"/>
      <c r="F1173" s="60"/>
      <c r="G1173" s="32"/>
      <c r="H1173" s="87"/>
      <c r="I1173" s="90"/>
      <c r="J1173" s="90" t="str">
        <f t="shared" si="36"/>
        <v/>
      </c>
      <c r="K1173" s="90"/>
    </row>
    <row r="1174" spans="2:11">
      <c r="B1174" s="11">
        <v>40269</v>
      </c>
      <c r="C1174" s="21" t="s">
        <v>233</v>
      </c>
      <c r="D1174" s="13" t="s">
        <v>294</v>
      </c>
      <c r="E1174" s="19" t="s">
        <v>102</v>
      </c>
      <c r="F1174" s="60">
        <v>2221</v>
      </c>
      <c r="G1174" s="32">
        <v>290000</v>
      </c>
      <c r="H1174" s="87">
        <v>40210</v>
      </c>
      <c r="I1174" s="90">
        <v>0</v>
      </c>
      <c r="J1174" s="90">
        <f t="shared" si="36"/>
        <v>290000</v>
      </c>
      <c r="K1174" s="90" t="str">
        <f t="shared" si="35"/>
        <v>ATRASADO</v>
      </c>
    </row>
    <row r="1175" spans="2:11">
      <c r="B1175" s="11">
        <v>40274</v>
      </c>
      <c r="C1175" s="21" t="s">
        <v>449</v>
      </c>
      <c r="D1175" s="13" t="s">
        <v>294</v>
      </c>
      <c r="E1175" s="19" t="s">
        <v>102</v>
      </c>
      <c r="F1175" s="60">
        <v>2221</v>
      </c>
      <c r="G1175" s="32">
        <v>145000</v>
      </c>
      <c r="H1175" s="87">
        <v>40240</v>
      </c>
      <c r="I1175" s="90">
        <v>0</v>
      </c>
      <c r="J1175" s="90">
        <f t="shared" si="36"/>
        <v>145000</v>
      </c>
      <c r="K1175" s="90" t="str">
        <f t="shared" si="35"/>
        <v>ATRASADO</v>
      </c>
    </row>
    <row r="1176" spans="2:11">
      <c r="B1176" s="11">
        <v>40331</v>
      </c>
      <c r="C1176" s="21" t="s">
        <v>234</v>
      </c>
      <c r="D1176" s="13" t="s">
        <v>294</v>
      </c>
      <c r="E1176" s="19" t="s">
        <v>102</v>
      </c>
      <c r="F1176" s="60">
        <v>2221</v>
      </c>
      <c r="G1176" s="32">
        <v>145000</v>
      </c>
      <c r="H1176" s="87">
        <v>40331</v>
      </c>
      <c r="I1176" s="90">
        <v>0</v>
      </c>
      <c r="J1176" s="90">
        <f t="shared" si="36"/>
        <v>145000</v>
      </c>
      <c r="K1176" s="90" t="str">
        <f t="shared" si="35"/>
        <v>ATRASADO</v>
      </c>
    </row>
    <row r="1177" spans="2:11">
      <c r="B1177" s="11"/>
      <c r="C1177" s="21"/>
      <c r="D1177" s="13"/>
      <c r="E1177" s="19"/>
      <c r="F1177" s="60"/>
      <c r="G1177" s="32"/>
      <c r="H1177" s="87"/>
      <c r="I1177" s="90"/>
      <c r="J1177" s="90" t="str">
        <f t="shared" si="36"/>
        <v/>
      </c>
      <c r="K1177" s="90"/>
    </row>
    <row r="1178" spans="2:11">
      <c r="B1178" s="11">
        <v>40252</v>
      </c>
      <c r="C1178" s="21" t="s">
        <v>226</v>
      </c>
      <c r="D1178" s="13" t="s">
        <v>227</v>
      </c>
      <c r="E1178" s="19" t="s">
        <v>207</v>
      </c>
      <c r="F1178" s="60">
        <v>2311</v>
      </c>
      <c r="G1178" s="32">
        <v>231408</v>
      </c>
      <c r="H1178" s="87">
        <v>40252</v>
      </c>
      <c r="I1178" s="90">
        <v>0</v>
      </c>
      <c r="J1178" s="90">
        <f t="shared" si="36"/>
        <v>231408</v>
      </c>
      <c r="K1178" s="90" t="str">
        <f t="shared" si="35"/>
        <v>ATRASADO</v>
      </c>
    </row>
    <row r="1179" spans="2:11">
      <c r="B1179" s="11">
        <v>40259</v>
      </c>
      <c r="C1179" s="21" t="s">
        <v>228</v>
      </c>
      <c r="D1179" s="13" t="s">
        <v>227</v>
      </c>
      <c r="E1179" s="19" t="s">
        <v>207</v>
      </c>
      <c r="F1179" s="60">
        <v>2311</v>
      </c>
      <c r="G1179" s="32">
        <v>465184</v>
      </c>
      <c r="H1179" s="87">
        <v>40259</v>
      </c>
      <c r="I1179" s="90">
        <v>0</v>
      </c>
      <c r="J1179" s="90">
        <f t="shared" si="36"/>
        <v>465184</v>
      </c>
      <c r="K1179" s="90" t="str">
        <f t="shared" si="35"/>
        <v>ATRASADO</v>
      </c>
    </row>
    <row r="1180" spans="2:11">
      <c r="B1180" s="11">
        <v>40280</v>
      </c>
      <c r="C1180" s="21" t="s">
        <v>229</v>
      </c>
      <c r="D1180" s="13" t="s">
        <v>227</v>
      </c>
      <c r="E1180" s="19" t="s">
        <v>207</v>
      </c>
      <c r="F1180" s="60">
        <v>2311</v>
      </c>
      <c r="G1180" s="32">
        <v>155072</v>
      </c>
      <c r="H1180" s="87">
        <v>40280</v>
      </c>
      <c r="I1180" s="90">
        <v>0</v>
      </c>
      <c r="J1180" s="90">
        <f t="shared" si="36"/>
        <v>155072</v>
      </c>
      <c r="K1180" s="90" t="str">
        <f t="shared" si="35"/>
        <v>ATRASADO</v>
      </c>
    </row>
    <row r="1181" spans="2:11">
      <c r="B1181" s="11">
        <v>40231</v>
      </c>
      <c r="C1181" s="21" t="s">
        <v>230</v>
      </c>
      <c r="D1181" s="13" t="s">
        <v>227</v>
      </c>
      <c r="E1181" s="19" t="s">
        <v>207</v>
      </c>
      <c r="F1181" s="60">
        <v>2311</v>
      </c>
      <c r="G1181" s="32">
        <v>154072</v>
      </c>
      <c r="H1181" s="87">
        <v>40231</v>
      </c>
      <c r="I1181" s="90">
        <v>0</v>
      </c>
      <c r="J1181" s="90">
        <f t="shared" si="36"/>
        <v>154072</v>
      </c>
      <c r="K1181" s="90" t="str">
        <f t="shared" si="35"/>
        <v>ATRASADO</v>
      </c>
    </row>
    <row r="1182" spans="2:11">
      <c r="B1182" s="11">
        <v>41122</v>
      </c>
      <c r="C1182" s="21" t="s">
        <v>446</v>
      </c>
      <c r="D1182" s="13" t="s">
        <v>227</v>
      </c>
      <c r="E1182" s="19" t="s">
        <v>207</v>
      </c>
      <c r="F1182" s="60">
        <v>2311</v>
      </c>
      <c r="G1182" s="32">
        <v>145000</v>
      </c>
      <c r="H1182" s="87">
        <v>41122</v>
      </c>
      <c r="I1182" s="90">
        <v>0</v>
      </c>
      <c r="J1182" s="90">
        <f t="shared" si="36"/>
        <v>145000</v>
      </c>
      <c r="K1182" s="90" t="str">
        <f t="shared" si="35"/>
        <v>ATRASADO</v>
      </c>
    </row>
    <row r="1183" spans="2:11">
      <c r="B1183" s="11"/>
      <c r="C1183" s="21"/>
      <c r="D1183" s="13"/>
      <c r="E1183" s="19"/>
      <c r="F1183" s="60"/>
      <c r="G1183" s="32"/>
      <c r="H1183" s="87"/>
      <c r="I1183" s="90"/>
      <c r="J1183" s="90" t="str">
        <f t="shared" si="36"/>
        <v/>
      </c>
      <c r="K1183" s="90"/>
    </row>
    <row r="1184" spans="2:11">
      <c r="B1184" s="10">
        <v>40179</v>
      </c>
      <c r="C1184" s="16">
        <v>1500102840</v>
      </c>
      <c r="D1184" s="13" t="s">
        <v>495</v>
      </c>
      <c r="E1184" s="19" t="s">
        <v>102</v>
      </c>
      <c r="F1184" s="60">
        <v>2221</v>
      </c>
      <c r="G1184" s="32">
        <v>17400</v>
      </c>
      <c r="H1184" s="208">
        <v>40179</v>
      </c>
      <c r="I1184" s="90">
        <v>0</v>
      </c>
      <c r="J1184" s="90">
        <f t="shared" si="36"/>
        <v>17400</v>
      </c>
      <c r="K1184" s="90" t="str">
        <f t="shared" si="35"/>
        <v>ATRASADO</v>
      </c>
    </row>
    <row r="1185" spans="2:11">
      <c r="B1185" s="10"/>
      <c r="C1185" s="16"/>
      <c r="D1185" s="13"/>
      <c r="E1185" s="19"/>
      <c r="F1185" s="60"/>
      <c r="G1185" s="32"/>
      <c r="H1185" s="208"/>
      <c r="I1185" s="90"/>
      <c r="J1185" s="90" t="str">
        <f t="shared" si="36"/>
        <v/>
      </c>
      <c r="K1185" s="90"/>
    </row>
    <row r="1186" spans="2:11">
      <c r="B1186" s="10">
        <v>41071</v>
      </c>
      <c r="C1186" s="16">
        <v>1500000002</v>
      </c>
      <c r="D1186" s="13" t="s">
        <v>11</v>
      </c>
      <c r="E1186" s="19" t="s">
        <v>7</v>
      </c>
      <c r="F1186" s="60">
        <v>2311</v>
      </c>
      <c r="G1186" s="32">
        <v>20380.400000000001</v>
      </c>
      <c r="H1186" s="208">
        <v>41071</v>
      </c>
      <c r="I1186" s="90">
        <v>0</v>
      </c>
      <c r="J1186" s="90">
        <f t="shared" si="36"/>
        <v>20380.400000000001</v>
      </c>
      <c r="K1186" s="90" t="str">
        <f t="shared" si="35"/>
        <v>ATRASADO</v>
      </c>
    </row>
    <row r="1187" spans="2:11">
      <c r="B1187" s="95"/>
      <c r="C1187" s="75"/>
      <c r="D1187" s="13"/>
      <c r="E1187" s="19"/>
      <c r="F1187" s="76"/>
      <c r="G1187" s="77"/>
      <c r="H1187" s="220"/>
      <c r="I1187" s="90"/>
      <c r="J1187" s="90" t="str">
        <f t="shared" si="36"/>
        <v/>
      </c>
      <c r="K1187" s="90"/>
    </row>
    <row r="1188" spans="2:11">
      <c r="B1188" s="36">
        <v>40121</v>
      </c>
      <c r="C1188" s="35" t="s">
        <v>538</v>
      </c>
      <c r="D1188" s="13" t="s">
        <v>539</v>
      </c>
      <c r="E1188" s="19" t="s">
        <v>102</v>
      </c>
      <c r="F1188" s="60">
        <v>2221</v>
      </c>
      <c r="G1188" s="32">
        <v>58000</v>
      </c>
      <c r="H1188" s="210">
        <v>40121</v>
      </c>
      <c r="I1188" s="90">
        <v>0</v>
      </c>
      <c r="J1188" s="90">
        <f t="shared" si="36"/>
        <v>58000</v>
      </c>
      <c r="K1188" s="90" t="str">
        <f t="shared" si="35"/>
        <v>ATRASADO</v>
      </c>
    </row>
    <row r="1189" spans="2:11">
      <c r="B1189" s="95"/>
      <c r="C1189" s="75"/>
      <c r="D1189" s="13"/>
      <c r="E1189" s="19"/>
      <c r="F1189" s="76"/>
      <c r="G1189" s="77"/>
      <c r="H1189" s="220"/>
      <c r="I1189" s="90"/>
      <c r="J1189" s="90" t="str">
        <f t="shared" si="36"/>
        <v/>
      </c>
      <c r="K1189" s="90"/>
    </row>
    <row r="1190" spans="2:11">
      <c r="B1190" s="11">
        <v>40096</v>
      </c>
      <c r="C1190" s="21" t="s">
        <v>231</v>
      </c>
      <c r="D1190" s="13" t="s">
        <v>586</v>
      </c>
      <c r="E1190" s="19" t="s">
        <v>207</v>
      </c>
      <c r="F1190" s="60">
        <v>2311</v>
      </c>
      <c r="G1190" s="32">
        <v>35279.08</v>
      </c>
      <c r="H1190" s="87">
        <v>40096</v>
      </c>
      <c r="I1190" s="90">
        <v>0</v>
      </c>
      <c r="J1190" s="90">
        <f t="shared" si="36"/>
        <v>35279.08</v>
      </c>
      <c r="K1190" s="90" t="str">
        <f t="shared" si="35"/>
        <v>ATRASADO</v>
      </c>
    </row>
    <row r="1191" spans="2:11">
      <c r="B1191" s="11">
        <v>40344</v>
      </c>
      <c r="C1191" s="21" t="s">
        <v>232</v>
      </c>
      <c r="D1191" s="13" t="s">
        <v>586</v>
      </c>
      <c r="E1191" s="19" t="s">
        <v>207</v>
      </c>
      <c r="F1191" s="60">
        <v>2311</v>
      </c>
      <c r="G1191" s="32">
        <v>164208.44</v>
      </c>
      <c r="H1191" s="87">
        <v>40344</v>
      </c>
      <c r="I1191" s="90">
        <v>0</v>
      </c>
      <c r="J1191" s="90">
        <f t="shared" si="36"/>
        <v>164208.44</v>
      </c>
      <c r="K1191" s="90" t="str">
        <f t="shared" si="35"/>
        <v>ATRASADO</v>
      </c>
    </row>
    <row r="1192" spans="2:11">
      <c r="B1192" s="11">
        <v>40344</v>
      </c>
      <c r="C1192" s="21" t="s">
        <v>233</v>
      </c>
      <c r="D1192" s="13" t="s">
        <v>586</v>
      </c>
      <c r="E1192" s="19" t="s">
        <v>207</v>
      </c>
      <c r="F1192" s="60">
        <v>2311</v>
      </c>
      <c r="G1192" s="32">
        <v>447681.93</v>
      </c>
      <c r="H1192" s="87">
        <v>40344</v>
      </c>
      <c r="I1192" s="90">
        <v>0</v>
      </c>
      <c r="J1192" s="90">
        <f t="shared" si="36"/>
        <v>447681.93</v>
      </c>
      <c r="K1192" s="90" t="str">
        <f t="shared" si="35"/>
        <v>ATRASADO</v>
      </c>
    </row>
    <row r="1193" spans="2:11">
      <c r="B1193" s="11">
        <v>40347</v>
      </c>
      <c r="C1193" s="21" t="s">
        <v>234</v>
      </c>
      <c r="D1193" s="13" t="s">
        <v>586</v>
      </c>
      <c r="E1193" s="19" t="s">
        <v>207</v>
      </c>
      <c r="F1193" s="60">
        <v>2311</v>
      </c>
      <c r="G1193" s="32">
        <v>104832.68</v>
      </c>
      <c r="H1193" s="87">
        <v>40347</v>
      </c>
      <c r="I1193" s="90">
        <v>0</v>
      </c>
      <c r="J1193" s="90">
        <f t="shared" si="36"/>
        <v>104832.68</v>
      </c>
      <c r="K1193" s="90" t="str">
        <f t="shared" si="35"/>
        <v>ATRASADO</v>
      </c>
    </row>
    <row r="1194" spans="2:11">
      <c r="B1194" s="11">
        <v>40348</v>
      </c>
      <c r="C1194" s="21" t="s">
        <v>235</v>
      </c>
      <c r="D1194" s="13" t="s">
        <v>586</v>
      </c>
      <c r="E1194" s="19" t="s">
        <v>207</v>
      </c>
      <c r="F1194" s="60">
        <v>2311</v>
      </c>
      <c r="G1194" s="32">
        <v>50360.82</v>
      </c>
      <c r="H1194" s="87">
        <v>40348</v>
      </c>
      <c r="I1194" s="90">
        <v>0</v>
      </c>
      <c r="J1194" s="90">
        <f t="shared" si="36"/>
        <v>50360.82</v>
      </c>
      <c r="K1194" s="90" t="str">
        <f t="shared" si="35"/>
        <v>ATRASADO</v>
      </c>
    </row>
    <row r="1195" spans="2:11">
      <c r="B1195" s="11">
        <v>40348</v>
      </c>
      <c r="C1195" s="21" t="s">
        <v>236</v>
      </c>
      <c r="D1195" s="13" t="s">
        <v>586</v>
      </c>
      <c r="E1195" s="19" t="s">
        <v>207</v>
      </c>
      <c r="F1195" s="60">
        <v>2311</v>
      </c>
      <c r="G1195" s="32">
        <v>50360.82</v>
      </c>
      <c r="H1195" s="87">
        <v>40348</v>
      </c>
      <c r="I1195" s="90">
        <v>0</v>
      </c>
      <c r="J1195" s="90">
        <f t="shared" si="36"/>
        <v>50360.82</v>
      </c>
      <c r="K1195" s="90" t="str">
        <f t="shared" si="35"/>
        <v>ATRASADO</v>
      </c>
    </row>
    <row r="1196" spans="2:11">
      <c r="B1196" s="11">
        <v>40350</v>
      </c>
      <c r="C1196" s="21" t="s">
        <v>237</v>
      </c>
      <c r="D1196" s="13" t="s">
        <v>586</v>
      </c>
      <c r="E1196" s="19" t="s">
        <v>207</v>
      </c>
      <c r="F1196" s="60">
        <v>2311</v>
      </c>
      <c r="G1196" s="32">
        <v>50360.82</v>
      </c>
      <c r="H1196" s="87">
        <v>40350</v>
      </c>
      <c r="I1196" s="90">
        <v>0</v>
      </c>
      <c r="J1196" s="90">
        <f t="shared" si="36"/>
        <v>50360.82</v>
      </c>
      <c r="K1196" s="90" t="str">
        <f t="shared" si="35"/>
        <v>ATRASADO</v>
      </c>
    </row>
    <row r="1197" spans="2:11">
      <c r="B1197" s="11"/>
      <c r="C1197" s="21"/>
      <c r="D1197" s="13"/>
      <c r="E1197" s="19"/>
      <c r="F1197" s="60"/>
      <c r="G1197" s="32"/>
      <c r="H1197" s="87"/>
      <c r="I1197" s="90"/>
      <c r="J1197" s="90" t="str">
        <f t="shared" si="36"/>
        <v/>
      </c>
      <c r="K1197" s="90"/>
    </row>
    <row r="1198" spans="2:11">
      <c r="B1198" s="36">
        <v>39801</v>
      </c>
      <c r="C1198" s="35" t="s">
        <v>465</v>
      </c>
      <c r="D1198" s="13" t="s">
        <v>416</v>
      </c>
      <c r="E1198" s="19" t="s">
        <v>114</v>
      </c>
      <c r="F1198" s="60">
        <v>2332</v>
      </c>
      <c r="G1198" s="32">
        <v>5293.08</v>
      </c>
      <c r="H1198" s="210">
        <v>39801</v>
      </c>
      <c r="I1198" s="90">
        <v>0</v>
      </c>
      <c r="J1198" s="90">
        <f t="shared" si="36"/>
        <v>5293.08</v>
      </c>
      <c r="K1198" s="90" t="str">
        <f t="shared" ref="K1198:K1258" si="37">IF(J1198&gt;0,"ATRASADO","")</f>
        <v>ATRASADO</v>
      </c>
    </row>
    <row r="1199" spans="2:11">
      <c r="B1199" s="36">
        <v>40848</v>
      </c>
      <c r="C1199" s="35" t="s">
        <v>466</v>
      </c>
      <c r="D1199" s="13" t="s">
        <v>416</v>
      </c>
      <c r="E1199" s="19" t="s">
        <v>114</v>
      </c>
      <c r="F1199" s="60">
        <v>2332</v>
      </c>
      <c r="G1199" s="32">
        <v>2844.32</v>
      </c>
      <c r="H1199" s="210">
        <v>40603</v>
      </c>
      <c r="I1199" s="90">
        <v>0</v>
      </c>
      <c r="J1199" s="90">
        <f t="shared" si="36"/>
        <v>2844.32</v>
      </c>
      <c r="K1199" s="90" t="str">
        <f t="shared" si="37"/>
        <v>ATRASADO</v>
      </c>
    </row>
    <row r="1200" spans="2:11">
      <c r="B1200" s="36"/>
      <c r="C1200" s="35"/>
      <c r="D1200" s="13"/>
      <c r="E1200" s="19"/>
      <c r="F1200" s="60"/>
      <c r="G1200" s="32"/>
      <c r="H1200" s="210"/>
      <c r="I1200" s="90"/>
      <c r="J1200" s="90" t="str">
        <f t="shared" si="36"/>
        <v/>
      </c>
      <c r="K1200" s="90"/>
    </row>
    <row r="1201" spans="2:11">
      <c r="B1201" s="11">
        <v>40001</v>
      </c>
      <c r="C1201" s="37">
        <v>100000151</v>
      </c>
      <c r="D1201" s="13" t="s">
        <v>238</v>
      </c>
      <c r="E1201" s="19" t="s">
        <v>207</v>
      </c>
      <c r="F1201" s="60">
        <v>2311</v>
      </c>
      <c r="G1201" s="32">
        <v>77360.399999999994</v>
      </c>
      <c r="H1201" s="87">
        <v>40001</v>
      </c>
      <c r="I1201" s="90">
        <v>0</v>
      </c>
      <c r="J1201" s="90">
        <f t="shared" si="36"/>
        <v>77360.399999999994</v>
      </c>
      <c r="K1201" s="90" t="str">
        <f t="shared" si="37"/>
        <v>ATRASADO</v>
      </c>
    </row>
    <row r="1202" spans="2:11">
      <c r="B1202" s="11"/>
      <c r="C1202" s="37"/>
      <c r="D1202" s="13"/>
      <c r="E1202" s="19"/>
      <c r="F1202" s="60"/>
      <c r="G1202" s="32"/>
      <c r="H1202" s="87"/>
      <c r="I1202" s="90"/>
      <c r="J1202" s="90" t="str">
        <f t="shared" si="36"/>
        <v/>
      </c>
      <c r="K1202" s="90"/>
    </row>
    <row r="1203" spans="2:11">
      <c r="B1203" s="11">
        <v>40543</v>
      </c>
      <c r="C1203" s="18" t="s">
        <v>440</v>
      </c>
      <c r="D1203" s="13" t="s">
        <v>251</v>
      </c>
      <c r="E1203" s="19" t="s">
        <v>250</v>
      </c>
      <c r="F1203" s="60">
        <v>2271</v>
      </c>
      <c r="G1203" s="32">
        <v>2170670.15</v>
      </c>
      <c r="H1203" s="87">
        <v>40543</v>
      </c>
      <c r="I1203" s="90">
        <v>0</v>
      </c>
      <c r="J1203" s="90">
        <f t="shared" si="36"/>
        <v>2170670.15</v>
      </c>
      <c r="K1203" s="90" t="str">
        <f t="shared" si="37"/>
        <v>ATRASADO</v>
      </c>
    </row>
    <row r="1204" spans="2:11">
      <c r="B1204" s="11"/>
      <c r="C1204" s="18"/>
      <c r="D1204" s="13"/>
      <c r="E1204" s="19"/>
      <c r="F1204" s="60"/>
      <c r="G1204" s="32"/>
      <c r="H1204" s="87"/>
      <c r="I1204" s="90"/>
      <c r="J1204" s="90" t="str">
        <f t="shared" si="36"/>
        <v/>
      </c>
      <c r="K1204" s="90"/>
    </row>
    <row r="1205" spans="2:11">
      <c r="B1205" s="11">
        <v>40177</v>
      </c>
      <c r="C1205" s="21" t="s">
        <v>239</v>
      </c>
      <c r="D1205" s="13" t="s">
        <v>240</v>
      </c>
      <c r="E1205" s="19" t="s">
        <v>207</v>
      </c>
      <c r="F1205" s="60">
        <v>2311</v>
      </c>
      <c r="G1205" s="32">
        <v>1501200</v>
      </c>
      <c r="H1205" s="87">
        <v>40177</v>
      </c>
      <c r="I1205" s="90">
        <v>0</v>
      </c>
      <c r="J1205" s="90">
        <f t="shared" si="36"/>
        <v>1501200</v>
      </c>
      <c r="K1205" s="90" t="str">
        <f t="shared" si="37"/>
        <v>ATRASADO</v>
      </c>
    </row>
    <row r="1206" spans="2:11">
      <c r="B1206" s="11">
        <v>44203</v>
      </c>
      <c r="C1206" s="21" t="s">
        <v>886</v>
      </c>
      <c r="D1206" s="13" t="s">
        <v>240</v>
      </c>
      <c r="E1206" s="19" t="s">
        <v>207</v>
      </c>
      <c r="F1206" s="60">
        <v>2311</v>
      </c>
      <c r="G1206" s="32">
        <v>61200</v>
      </c>
      <c r="H1206" s="87">
        <v>44203</v>
      </c>
      <c r="I1206" s="90">
        <v>0</v>
      </c>
      <c r="J1206" s="90">
        <f t="shared" si="36"/>
        <v>61200</v>
      </c>
      <c r="K1206" s="90" t="str">
        <f t="shared" si="37"/>
        <v>ATRASADO</v>
      </c>
    </row>
    <row r="1207" spans="2:11">
      <c r="B1207" s="11"/>
      <c r="C1207" s="21"/>
      <c r="D1207" s="13"/>
      <c r="E1207" s="19"/>
      <c r="F1207" s="60"/>
      <c r="G1207" s="32"/>
      <c r="H1207" s="87"/>
      <c r="I1207" s="90"/>
      <c r="J1207" s="90" t="str">
        <f t="shared" si="36"/>
        <v/>
      </c>
      <c r="K1207" s="90"/>
    </row>
    <row r="1208" spans="2:11">
      <c r="B1208" s="11">
        <v>40184</v>
      </c>
      <c r="C1208" s="21" t="s">
        <v>295</v>
      </c>
      <c r="D1208" s="13" t="s">
        <v>296</v>
      </c>
      <c r="E1208" s="19" t="s">
        <v>102</v>
      </c>
      <c r="F1208" s="60">
        <v>2221</v>
      </c>
      <c r="G1208" s="32">
        <v>29000</v>
      </c>
      <c r="H1208" s="87">
        <v>40184</v>
      </c>
      <c r="I1208" s="90">
        <v>0</v>
      </c>
      <c r="J1208" s="90">
        <f t="shared" si="36"/>
        <v>29000</v>
      </c>
      <c r="K1208" s="90" t="str">
        <f t="shared" si="37"/>
        <v>ATRASADO</v>
      </c>
    </row>
    <row r="1209" spans="2:11">
      <c r="B1209" s="11">
        <v>40215</v>
      </c>
      <c r="C1209" s="21" t="s">
        <v>450</v>
      </c>
      <c r="D1209" s="13" t="s">
        <v>296</v>
      </c>
      <c r="E1209" s="19" t="s">
        <v>102</v>
      </c>
      <c r="F1209" s="60">
        <v>2221</v>
      </c>
      <c r="G1209" s="32">
        <v>29000</v>
      </c>
      <c r="H1209" s="87">
        <v>40215</v>
      </c>
      <c r="I1209" s="90">
        <v>0</v>
      </c>
      <c r="J1209" s="90">
        <f t="shared" si="36"/>
        <v>29000</v>
      </c>
      <c r="K1209" s="90" t="str">
        <f t="shared" si="37"/>
        <v>ATRASADO</v>
      </c>
    </row>
    <row r="1210" spans="2:11">
      <c r="B1210" s="11"/>
      <c r="C1210" s="21"/>
      <c r="D1210" s="13"/>
      <c r="E1210" s="19"/>
      <c r="F1210" s="60"/>
      <c r="G1210" s="32"/>
      <c r="H1210" s="87"/>
      <c r="I1210" s="90"/>
      <c r="J1210" s="90" t="str">
        <f t="shared" si="36"/>
        <v/>
      </c>
      <c r="K1210" s="90"/>
    </row>
    <row r="1211" spans="2:11">
      <c r="B1211" s="36">
        <v>40492</v>
      </c>
      <c r="C1211" s="35" t="s">
        <v>417</v>
      </c>
      <c r="D1211" s="13" t="s">
        <v>418</v>
      </c>
      <c r="E1211" s="19" t="s">
        <v>24</v>
      </c>
      <c r="F1211" s="60">
        <v>2242</v>
      </c>
      <c r="G1211" s="32">
        <v>15000</v>
      </c>
      <c r="H1211" s="210">
        <v>40492</v>
      </c>
      <c r="I1211" s="90">
        <v>0</v>
      </c>
      <c r="J1211" s="90">
        <f t="shared" si="36"/>
        <v>15000</v>
      </c>
      <c r="K1211" s="90" t="str">
        <f t="shared" si="37"/>
        <v>ATRASADO</v>
      </c>
    </row>
    <row r="1212" spans="2:11">
      <c r="B1212" s="36"/>
      <c r="C1212" s="35"/>
      <c r="D1212" s="13"/>
      <c r="E1212" s="19"/>
      <c r="F1212" s="60"/>
      <c r="G1212" s="32"/>
      <c r="H1212" s="210"/>
      <c r="I1212" s="90"/>
      <c r="J1212" s="90" t="str">
        <f t="shared" si="36"/>
        <v/>
      </c>
      <c r="K1212" s="90"/>
    </row>
    <row r="1213" spans="2:11" ht="24.75">
      <c r="B1213" s="11">
        <v>40908</v>
      </c>
      <c r="C1213" s="18" t="s">
        <v>488</v>
      </c>
      <c r="D1213" s="13" t="s">
        <v>489</v>
      </c>
      <c r="E1213" s="19" t="s">
        <v>490</v>
      </c>
      <c r="F1213" s="60">
        <v>2271</v>
      </c>
      <c r="G1213" s="32">
        <v>600000</v>
      </c>
      <c r="H1213" s="87">
        <v>40908</v>
      </c>
      <c r="I1213" s="90">
        <v>0</v>
      </c>
      <c r="J1213" s="90">
        <f t="shared" si="36"/>
        <v>600000</v>
      </c>
      <c r="K1213" s="90" t="str">
        <f t="shared" si="37"/>
        <v>ATRASADO</v>
      </c>
    </row>
    <row r="1214" spans="2:11">
      <c r="B1214" s="11"/>
      <c r="C1214" s="18"/>
      <c r="D1214" s="13"/>
      <c r="E1214" s="19"/>
      <c r="F1214" s="60"/>
      <c r="G1214" s="32"/>
      <c r="H1214" s="87"/>
      <c r="I1214" s="90"/>
      <c r="J1214" s="90" t="str">
        <f t="shared" si="36"/>
        <v/>
      </c>
      <c r="K1214" s="90"/>
    </row>
    <row r="1215" spans="2:11">
      <c r="B1215" s="11">
        <v>40309</v>
      </c>
      <c r="C1215" s="21" t="s">
        <v>297</v>
      </c>
      <c r="D1215" s="13" t="s">
        <v>298</v>
      </c>
      <c r="E1215" s="19" t="s">
        <v>102</v>
      </c>
      <c r="F1215" s="60">
        <v>2221</v>
      </c>
      <c r="G1215" s="32">
        <v>58000</v>
      </c>
      <c r="H1215" s="87">
        <v>40309</v>
      </c>
      <c r="I1215" s="90">
        <v>0</v>
      </c>
      <c r="J1215" s="90">
        <f t="shared" si="36"/>
        <v>58000</v>
      </c>
      <c r="K1215" s="90" t="str">
        <f t="shared" si="37"/>
        <v>ATRASADO</v>
      </c>
    </row>
    <row r="1216" spans="2:11">
      <c r="B1216" s="11">
        <v>40309</v>
      </c>
      <c r="C1216" s="21" t="s">
        <v>299</v>
      </c>
      <c r="D1216" s="13" t="s">
        <v>298</v>
      </c>
      <c r="E1216" s="19" t="s">
        <v>102</v>
      </c>
      <c r="F1216" s="60">
        <v>2221</v>
      </c>
      <c r="G1216" s="32">
        <v>58000</v>
      </c>
      <c r="H1216" s="87">
        <v>40309</v>
      </c>
      <c r="I1216" s="90">
        <v>0</v>
      </c>
      <c r="J1216" s="90">
        <f t="shared" si="36"/>
        <v>58000</v>
      </c>
      <c r="K1216" s="90" t="str">
        <f t="shared" si="37"/>
        <v>ATRASADO</v>
      </c>
    </row>
    <row r="1217" spans="2:11">
      <c r="B1217" s="11">
        <v>40340</v>
      </c>
      <c r="C1217" s="21" t="s">
        <v>300</v>
      </c>
      <c r="D1217" s="13" t="s">
        <v>298</v>
      </c>
      <c r="E1217" s="19" t="s">
        <v>102</v>
      </c>
      <c r="F1217" s="60">
        <v>2221</v>
      </c>
      <c r="G1217" s="32">
        <v>58000</v>
      </c>
      <c r="H1217" s="87">
        <v>40340</v>
      </c>
      <c r="I1217" s="90">
        <v>0</v>
      </c>
      <c r="J1217" s="90">
        <f t="shared" si="36"/>
        <v>58000</v>
      </c>
      <c r="K1217" s="90" t="str">
        <f t="shared" si="37"/>
        <v>ATRASADO</v>
      </c>
    </row>
    <row r="1218" spans="2:11">
      <c r="B1218" s="11">
        <v>40400</v>
      </c>
      <c r="C1218" s="21" t="s">
        <v>301</v>
      </c>
      <c r="D1218" s="13" t="s">
        <v>298</v>
      </c>
      <c r="E1218" s="19" t="s">
        <v>102</v>
      </c>
      <c r="F1218" s="60">
        <v>2221</v>
      </c>
      <c r="G1218" s="32">
        <v>58000</v>
      </c>
      <c r="H1218" s="87">
        <v>40400</v>
      </c>
      <c r="I1218" s="90">
        <v>0</v>
      </c>
      <c r="J1218" s="90">
        <f t="shared" si="36"/>
        <v>58000</v>
      </c>
      <c r="K1218" s="90" t="str">
        <f t="shared" si="37"/>
        <v>ATRASADO</v>
      </c>
    </row>
    <row r="1219" spans="2:11">
      <c r="B1219" s="11">
        <v>40427</v>
      </c>
      <c r="C1219" s="21" t="s">
        <v>302</v>
      </c>
      <c r="D1219" s="13" t="s">
        <v>298</v>
      </c>
      <c r="E1219" s="19" t="s">
        <v>102</v>
      </c>
      <c r="F1219" s="60">
        <v>2221</v>
      </c>
      <c r="G1219" s="32">
        <v>58000</v>
      </c>
      <c r="H1219" s="87">
        <v>40427</v>
      </c>
      <c r="I1219" s="90">
        <v>0</v>
      </c>
      <c r="J1219" s="90">
        <f t="shared" si="36"/>
        <v>58000</v>
      </c>
      <c r="K1219" s="90" t="str">
        <f t="shared" si="37"/>
        <v>ATRASADO</v>
      </c>
    </row>
    <row r="1220" spans="2:11">
      <c r="B1220" s="11">
        <v>40462</v>
      </c>
      <c r="C1220" s="21" t="s">
        <v>303</v>
      </c>
      <c r="D1220" s="13" t="s">
        <v>298</v>
      </c>
      <c r="E1220" s="19" t="s">
        <v>102</v>
      </c>
      <c r="F1220" s="60">
        <v>2221</v>
      </c>
      <c r="G1220" s="32">
        <v>58000</v>
      </c>
      <c r="H1220" s="87">
        <v>40462</v>
      </c>
      <c r="I1220" s="90">
        <v>0</v>
      </c>
      <c r="J1220" s="90">
        <f t="shared" si="36"/>
        <v>58000</v>
      </c>
      <c r="K1220" s="90" t="str">
        <f t="shared" si="37"/>
        <v>ATRASADO</v>
      </c>
    </row>
    <row r="1221" spans="2:11">
      <c r="B1221" s="11"/>
      <c r="C1221" s="21"/>
      <c r="D1221" s="13"/>
      <c r="E1221" s="19"/>
      <c r="F1221" s="60"/>
      <c r="G1221" s="32"/>
      <c r="H1221" s="87"/>
      <c r="I1221" s="90"/>
      <c r="J1221" s="90" t="str">
        <f t="shared" si="36"/>
        <v/>
      </c>
      <c r="K1221" s="90"/>
    </row>
    <row r="1222" spans="2:11">
      <c r="B1222" s="10">
        <v>40908</v>
      </c>
      <c r="C1222" s="12">
        <v>100000030</v>
      </c>
      <c r="D1222" s="13" t="s">
        <v>276</v>
      </c>
      <c r="E1222" s="19" t="s">
        <v>102</v>
      </c>
      <c r="F1222" s="60">
        <v>2221</v>
      </c>
      <c r="G1222" s="32">
        <v>145000</v>
      </c>
      <c r="H1222" s="208">
        <v>40908</v>
      </c>
      <c r="I1222" s="90">
        <v>0</v>
      </c>
      <c r="J1222" s="90">
        <f t="shared" si="36"/>
        <v>145000</v>
      </c>
      <c r="K1222" s="90" t="str">
        <f t="shared" si="37"/>
        <v>ATRASADO</v>
      </c>
    </row>
    <row r="1223" spans="2:11">
      <c r="B1223" s="10"/>
      <c r="C1223" s="12"/>
      <c r="D1223" s="13"/>
      <c r="E1223" s="19"/>
      <c r="F1223" s="60"/>
      <c r="G1223" s="32"/>
      <c r="H1223" s="208"/>
      <c r="I1223" s="90"/>
      <c r="J1223" s="90" t="str">
        <f t="shared" si="36"/>
        <v/>
      </c>
      <c r="K1223" s="90" t="str">
        <f t="shared" si="37"/>
        <v>ATRASADO</v>
      </c>
    </row>
    <row r="1224" spans="2:11">
      <c r="B1224" s="36">
        <v>40210</v>
      </c>
      <c r="C1224" s="35" t="s">
        <v>522</v>
      </c>
      <c r="D1224" s="13" t="s">
        <v>524</v>
      </c>
      <c r="E1224" s="19" t="s">
        <v>102</v>
      </c>
      <c r="F1224" s="60">
        <v>2221</v>
      </c>
      <c r="G1224" s="32">
        <v>50000</v>
      </c>
      <c r="H1224" s="210">
        <v>40210</v>
      </c>
      <c r="I1224" s="90">
        <v>0</v>
      </c>
      <c r="J1224" s="90">
        <f t="shared" si="36"/>
        <v>50000</v>
      </c>
      <c r="K1224" s="90" t="str">
        <f t="shared" si="37"/>
        <v>ATRASADO</v>
      </c>
    </row>
    <row r="1225" spans="2:11">
      <c r="B1225" s="36">
        <v>40238</v>
      </c>
      <c r="C1225" s="35" t="s">
        <v>523</v>
      </c>
      <c r="D1225" s="13" t="s">
        <v>524</v>
      </c>
      <c r="E1225" s="19" t="s">
        <v>102</v>
      </c>
      <c r="F1225" s="60">
        <v>2221</v>
      </c>
      <c r="G1225" s="32">
        <v>50000</v>
      </c>
      <c r="H1225" s="210">
        <v>40238</v>
      </c>
      <c r="I1225" s="90">
        <v>0</v>
      </c>
      <c r="J1225" s="90">
        <f t="shared" si="36"/>
        <v>50000</v>
      </c>
      <c r="K1225" s="90" t="str">
        <f t="shared" si="37"/>
        <v>ATRASADO</v>
      </c>
    </row>
    <row r="1226" spans="2:11">
      <c r="B1226" s="95"/>
      <c r="C1226" s="75"/>
      <c r="D1226" s="13"/>
      <c r="E1226" s="19"/>
      <c r="F1226" s="76"/>
      <c r="G1226" s="77"/>
      <c r="H1226" s="220"/>
      <c r="I1226" s="90"/>
      <c r="J1226" s="90" t="str">
        <f t="shared" si="36"/>
        <v/>
      </c>
      <c r="K1226" s="90"/>
    </row>
    <row r="1227" spans="2:11">
      <c r="B1227" s="36">
        <v>40659</v>
      </c>
      <c r="C1227" s="35" t="s">
        <v>441</v>
      </c>
      <c r="D1227" s="13" t="s">
        <v>419</v>
      </c>
      <c r="E1227" s="19" t="s">
        <v>420</v>
      </c>
      <c r="F1227" s="60">
        <v>2287</v>
      </c>
      <c r="G1227" s="32">
        <v>525120.35</v>
      </c>
      <c r="H1227" s="210">
        <v>40659</v>
      </c>
      <c r="I1227" s="90">
        <v>0</v>
      </c>
      <c r="J1227" s="90">
        <f t="shared" si="36"/>
        <v>525120.35</v>
      </c>
      <c r="K1227" s="90" t="str">
        <f t="shared" si="37"/>
        <v>ATRASADO</v>
      </c>
    </row>
    <row r="1228" spans="2:11">
      <c r="B1228" s="36"/>
      <c r="C1228" s="35"/>
      <c r="D1228" s="13"/>
      <c r="E1228" s="19"/>
      <c r="F1228" s="60"/>
      <c r="G1228" s="32"/>
      <c r="H1228" s="210"/>
      <c r="I1228" s="90"/>
      <c r="J1228" s="90" t="str">
        <f t="shared" si="36"/>
        <v/>
      </c>
      <c r="K1228" s="90"/>
    </row>
    <row r="1229" spans="2:11">
      <c r="B1229" s="11">
        <v>40207</v>
      </c>
      <c r="C1229" s="21" t="s">
        <v>304</v>
      </c>
      <c r="D1229" s="13" t="s">
        <v>305</v>
      </c>
      <c r="E1229" s="19" t="s">
        <v>102</v>
      </c>
      <c r="F1229" s="60">
        <v>2221</v>
      </c>
      <c r="G1229" s="32">
        <v>50000</v>
      </c>
      <c r="H1229" s="87">
        <v>40207</v>
      </c>
      <c r="I1229" s="90">
        <v>0</v>
      </c>
      <c r="J1229" s="90">
        <f t="shared" si="36"/>
        <v>50000</v>
      </c>
      <c r="K1229" s="90" t="str">
        <f t="shared" si="37"/>
        <v>ATRASADO</v>
      </c>
    </row>
    <row r="1230" spans="2:11">
      <c r="B1230" s="11">
        <v>40207</v>
      </c>
      <c r="C1230" s="21" t="s">
        <v>306</v>
      </c>
      <c r="D1230" s="13" t="s">
        <v>305</v>
      </c>
      <c r="E1230" s="19" t="s">
        <v>102</v>
      </c>
      <c r="F1230" s="60">
        <v>2221</v>
      </c>
      <c r="G1230" s="32">
        <v>50000</v>
      </c>
      <c r="H1230" s="87">
        <v>40207</v>
      </c>
      <c r="I1230" s="90">
        <v>0</v>
      </c>
      <c r="J1230" s="90">
        <f t="shared" si="36"/>
        <v>50000</v>
      </c>
      <c r="K1230" s="90" t="str">
        <f t="shared" si="37"/>
        <v>ATRASADO</v>
      </c>
    </row>
    <row r="1231" spans="2:11">
      <c r="B1231" s="11">
        <v>40234</v>
      </c>
      <c r="C1231" s="21" t="s">
        <v>307</v>
      </c>
      <c r="D1231" s="13" t="s">
        <v>305</v>
      </c>
      <c r="E1231" s="19" t="s">
        <v>102</v>
      </c>
      <c r="F1231" s="60">
        <v>2221</v>
      </c>
      <c r="G1231" s="32">
        <v>50000</v>
      </c>
      <c r="H1231" s="87">
        <v>40234</v>
      </c>
      <c r="I1231" s="90">
        <v>0</v>
      </c>
      <c r="J1231" s="90">
        <f t="shared" si="36"/>
        <v>50000</v>
      </c>
      <c r="K1231" s="90" t="str">
        <f t="shared" si="37"/>
        <v>ATRASADO</v>
      </c>
    </row>
    <row r="1232" spans="2:11">
      <c r="B1232" s="11">
        <v>40247</v>
      </c>
      <c r="C1232" s="21" t="s">
        <v>308</v>
      </c>
      <c r="D1232" s="13" t="s">
        <v>305</v>
      </c>
      <c r="E1232" s="19" t="s">
        <v>102</v>
      </c>
      <c r="F1232" s="60">
        <v>2221</v>
      </c>
      <c r="G1232" s="32">
        <v>50000</v>
      </c>
      <c r="H1232" s="87">
        <v>40247</v>
      </c>
      <c r="I1232" s="90">
        <v>0</v>
      </c>
      <c r="J1232" s="90">
        <f t="shared" ref="J1232:J1295" si="38">IF(G1232&gt;0,G1232,"")</f>
        <v>50000</v>
      </c>
      <c r="K1232" s="90" t="str">
        <f t="shared" si="37"/>
        <v>ATRASADO</v>
      </c>
    </row>
    <row r="1233" spans="2:11">
      <c r="B1233" s="11">
        <v>40282</v>
      </c>
      <c r="C1233" s="21" t="s">
        <v>309</v>
      </c>
      <c r="D1233" s="13" t="s">
        <v>305</v>
      </c>
      <c r="E1233" s="19" t="s">
        <v>102</v>
      </c>
      <c r="F1233" s="60">
        <v>2221</v>
      </c>
      <c r="G1233" s="32">
        <v>50000</v>
      </c>
      <c r="H1233" s="87">
        <v>40282</v>
      </c>
      <c r="I1233" s="90">
        <v>0</v>
      </c>
      <c r="J1233" s="90">
        <f t="shared" si="38"/>
        <v>50000</v>
      </c>
      <c r="K1233" s="90" t="str">
        <f t="shared" si="37"/>
        <v>ATRASADO</v>
      </c>
    </row>
    <row r="1234" spans="2:11">
      <c r="B1234" s="11">
        <v>40318</v>
      </c>
      <c r="C1234" s="21" t="s">
        <v>310</v>
      </c>
      <c r="D1234" s="13" t="s">
        <v>305</v>
      </c>
      <c r="E1234" s="19" t="s">
        <v>102</v>
      </c>
      <c r="F1234" s="60">
        <v>2221</v>
      </c>
      <c r="G1234" s="32">
        <v>50000</v>
      </c>
      <c r="H1234" s="87">
        <v>40318</v>
      </c>
      <c r="I1234" s="90">
        <v>0</v>
      </c>
      <c r="J1234" s="90">
        <f t="shared" si="38"/>
        <v>50000</v>
      </c>
      <c r="K1234" s="90" t="str">
        <f t="shared" si="37"/>
        <v>ATRASADO</v>
      </c>
    </row>
    <row r="1235" spans="2:11">
      <c r="B1235" s="11"/>
      <c r="C1235" s="21"/>
      <c r="D1235" s="13"/>
      <c r="E1235" s="19"/>
      <c r="F1235" s="60"/>
      <c r="G1235" s="32"/>
      <c r="H1235" s="87"/>
      <c r="I1235" s="90"/>
      <c r="J1235" s="90" t="str">
        <f t="shared" si="38"/>
        <v/>
      </c>
      <c r="K1235" s="90"/>
    </row>
    <row r="1236" spans="2:11">
      <c r="B1236" s="11">
        <v>40025</v>
      </c>
      <c r="C1236" s="21" t="s">
        <v>241</v>
      </c>
      <c r="D1236" s="13" t="s">
        <v>585</v>
      </c>
      <c r="E1236" s="19" t="s">
        <v>207</v>
      </c>
      <c r="F1236" s="60">
        <v>2311</v>
      </c>
      <c r="G1236" s="32">
        <v>1010792.92</v>
      </c>
      <c r="H1236" s="87">
        <v>40025</v>
      </c>
      <c r="I1236" s="90">
        <v>0</v>
      </c>
      <c r="J1236" s="90">
        <f t="shared" si="38"/>
        <v>1010792.92</v>
      </c>
      <c r="K1236" s="90" t="str">
        <f t="shared" si="37"/>
        <v>ATRASADO</v>
      </c>
    </row>
    <row r="1237" spans="2:11">
      <c r="B1237" s="11">
        <v>40045</v>
      </c>
      <c r="C1237" s="21" t="s">
        <v>242</v>
      </c>
      <c r="D1237" s="13" t="s">
        <v>585</v>
      </c>
      <c r="E1237" s="19" t="s">
        <v>207</v>
      </c>
      <c r="F1237" s="60">
        <v>2311</v>
      </c>
      <c r="G1237" s="32">
        <v>200761.2</v>
      </c>
      <c r="H1237" s="87">
        <v>40045</v>
      </c>
      <c r="I1237" s="90">
        <v>0</v>
      </c>
      <c r="J1237" s="90">
        <f t="shared" si="38"/>
        <v>200761.2</v>
      </c>
      <c r="K1237" s="90" t="str">
        <f t="shared" si="37"/>
        <v>ATRASADO</v>
      </c>
    </row>
    <row r="1238" spans="2:11">
      <c r="B1238" s="11"/>
      <c r="C1238" s="21"/>
      <c r="D1238" s="13"/>
      <c r="E1238" s="19"/>
      <c r="F1238" s="60"/>
      <c r="G1238" s="32"/>
      <c r="H1238" s="87"/>
      <c r="I1238" s="90"/>
      <c r="J1238" s="90" t="str">
        <f t="shared" si="38"/>
        <v/>
      </c>
      <c r="K1238" s="90"/>
    </row>
    <row r="1239" spans="2:11">
      <c r="B1239" s="11">
        <v>41061</v>
      </c>
      <c r="C1239" s="21" t="s">
        <v>451</v>
      </c>
      <c r="D1239" s="13" t="s">
        <v>311</v>
      </c>
      <c r="E1239" s="19" t="s">
        <v>102</v>
      </c>
      <c r="F1239" s="60">
        <v>2221</v>
      </c>
      <c r="G1239" s="32">
        <v>20000</v>
      </c>
      <c r="H1239" s="87">
        <v>41061</v>
      </c>
      <c r="I1239" s="90">
        <v>0</v>
      </c>
      <c r="J1239" s="90">
        <f t="shared" si="38"/>
        <v>20000</v>
      </c>
      <c r="K1239" s="90" t="str">
        <f t="shared" si="37"/>
        <v>ATRASADO</v>
      </c>
    </row>
    <row r="1240" spans="2:11">
      <c r="B1240" s="11">
        <v>41061</v>
      </c>
      <c r="C1240" s="21" t="s">
        <v>452</v>
      </c>
      <c r="D1240" s="13" t="s">
        <v>311</v>
      </c>
      <c r="E1240" s="19" t="s">
        <v>102</v>
      </c>
      <c r="F1240" s="60">
        <v>2221</v>
      </c>
      <c r="G1240" s="32">
        <v>20000</v>
      </c>
      <c r="H1240" s="87">
        <v>41061</v>
      </c>
      <c r="I1240" s="90">
        <v>0</v>
      </c>
      <c r="J1240" s="90">
        <f t="shared" si="38"/>
        <v>20000</v>
      </c>
      <c r="K1240" s="90" t="str">
        <f t="shared" si="37"/>
        <v>ATRASADO</v>
      </c>
    </row>
    <row r="1241" spans="2:11">
      <c r="B1241" s="11">
        <v>41061</v>
      </c>
      <c r="C1241" s="21" t="s">
        <v>453</v>
      </c>
      <c r="D1241" s="13" t="s">
        <v>311</v>
      </c>
      <c r="E1241" s="19" t="s">
        <v>102</v>
      </c>
      <c r="F1241" s="60">
        <v>2221</v>
      </c>
      <c r="G1241" s="32">
        <v>20000</v>
      </c>
      <c r="H1241" s="87">
        <v>41061</v>
      </c>
      <c r="I1241" s="90">
        <v>0</v>
      </c>
      <c r="J1241" s="90">
        <f t="shared" si="38"/>
        <v>20000</v>
      </c>
      <c r="K1241" s="90" t="str">
        <f t="shared" si="37"/>
        <v>ATRASADO</v>
      </c>
    </row>
    <row r="1242" spans="2:11">
      <c r="B1242" s="11">
        <v>41061</v>
      </c>
      <c r="C1242" s="21" t="s">
        <v>454</v>
      </c>
      <c r="D1242" s="13" t="s">
        <v>311</v>
      </c>
      <c r="E1242" s="19" t="s">
        <v>102</v>
      </c>
      <c r="F1242" s="60">
        <v>2221</v>
      </c>
      <c r="G1242" s="32">
        <v>20000</v>
      </c>
      <c r="H1242" s="87">
        <v>41061</v>
      </c>
      <c r="I1242" s="90">
        <v>0</v>
      </c>
      <c r="J1242" s="90">
        <f t="shared" si="38"/>
        <v>20000</v>
      </c>
      <c r="K1242" s="90" t="str">
        <f t="shared" si="37"/>
        <v>ATRASADO</v>
      </c>
    </row>
    <row r="1243" spans="2:11">
      <c r="B1243" s="11">
        <v>41061</v>
      </c>
      <c r="C1243" s="21" t="s">
        <v>455</v>
      </c>
      <c r="D1243" s="13" t="s">
        <v>311</v>
      </c>
      <c r="E1243" s="19" t="s">
        <v>102</v>
      </c>
      <c r="F1243" s="60">
        <v>2221</v>
      </c>
      <c r="G1243" s="32">
        <v>20000</v>
      </c>
      <c r="H1243" s="87">
        <v>41061</v>
      </c>
      <c r="I1243" s="90">
        <v>0</v>
      </c>
      <c r="J1243" s="90">
        <f t="shared" si="38"/>
        <v>20000</v>
      </c>
      <c r="K1243" s="90" t="str">
        <f t="shared" si="37"/>
        <v>ATRASADO</v>
      </c>
    </row>
    <row r="1244" spans="2:11">
      <c r="B1244" s="11">
        <v>41212</v>
      </c>
      <c r="C1244" s="21" t="s">
        <v>456</v>
      </c>
      <c r="D1244" s="13" t="s">
        <v>311</v>
      </c>
      <c r="E1244" s="19" t="s">
        <v>102</v>
      </c>
      <c r="F1244" s="60">
        <v>2221</v>
      </c>
      <c r="G1244" s="32">
        <v>20000</v>
      </c>
      <c r="H1244" s="87">
        <v>41212</v>
      </c>
      <c r="I1244" s="90">
        <v>0</v>
      </c>
      <c r="J1244" s="90">
        <f t="shared" si="38"/>
        <v>20000</v>
      </c>
      <c r="K1244" s="90" t="str">
        <f t="shared" si="37"/>
        <v>ATRASADO</v>
      </c>
    </row>
    <row r="1245" spans="2:11">
      <c r="B1245" s="11"/>
      <c r="C1245" s="21"/>
      <c r="D1245" s="13"/>
      <c r="E1245" s="19"/>
      <c r="F1245" s="60"/>
      <c r="G1245" s="32"/>
      <c r="H1245" s="87"/>
      <c r="I1245" s="90"/>
      <c r="J1245" s="90" t="str">
        <f t="shared" si="38"/>
        <v/>
      </c>
      <c r="K1245" s="90"/>
    </row>
    <row r="1246" spans="2:11">
      <c r="B1246" s="36">
        <v>40416</v>
      </c>
      <c r="C1246" s="35" t="s">
        <v>243</v>
      </c>
      <c r="D1246" s="13" t="s">
        <v>244</v>
      </c>
      <c r="E1246" s="19" t="s">
        <v>207</v>
      </c>
      <c r="F1246" s="60">
        <v>2311</v>
      </c>
      <c r="G1246" s="32">
        <v>158997.04</v>
      </c>
      <c r="H1246" s="210">
        <v>40416</v>
      </c>
      <c r="I1246" s="90">
        <v>0</v>
      </c>
      <c r="J1246" s="90">
        <f t="shared" si="38"/>
        <v>158997.04</v>
      </c>
      <c r="K1246" s="90" t="str">
        <f t="shared" si="37"/>
        <v>ATRASADO</v>
      </c>
    </row>
    <row r="1247" spans="2:11">
      <c r="B1247" s="36"/>
      <c r="C1247" s="35"/>
      <c r="D1247" s="13"/>
      <c r="E1247" s="19"/>
      <c r="F1247" s="60"/>
      <c r="G1247" s="32"/>
      <c r="H1247" s="210"/>
      <c r="I1247" s="90"/>
      <c r="J1247" s="90" t="str">
        <f t="shared" si="38"/>
        <v/>
      </c>
      <c r="K1247" s="90"/>
    </row>
    <row r="1248" spans="2:11">
      <c r="B1248" s="36">
        <v>40789</v>
      </c>
      <c r="C1248" s="38" t="s">
        <v>37</v>
      </c>
      <c r="D1248" s="13" t="s">
        <v>681</v>
      </c>
      <c r="E1248" s="19" t="s">
        <v>381</v>
      </c>
      <c r="F1248" s="60">
        <v>2251</v>
      </c>
      <c r="G1248" s="32">
        <v>18666.48</v>
      </c>
      <c r="H1248" s="210">
        <v>40789</v>
      </c>
      <c r="I1248" s="90">
        <v>0</v>
      </c>
      <c r="J1248" s="90">
        <f t="shared" si="38"/>
        <v>18666.48</v>
      </c>
      <c r="K1248" s="90" t="str">
        <f t="shared" si="37"/>
        <v>ATRASADO</v>
      </c>
    </row>
    <row r="1249" spans="2:11">
      <c r="B1249" s="36"/>
      <c r="C1249" s="35"/>
      <c r="D1249" s="13"/>
      <c r="E1249" s="19"/>
      <c r="F1249" s="60"/>
      <c r="G1249" s="32"/>
      <c r="H1249" s="210"/>
      <c r="I1249" s="90"/>
      <c r="J1249" s="90" t="str">
        <f t="shared" si="38"/>
        <v/>
      </c>
      <c r="K1249" s="90"/>
    </row>
    <row r="1250" spans="2:11">
      <c r="B1250" s="36">
        <v>44202</v>
      </c>
      <c r="C1250" s="35" t="s">
        <v>1569</v>
      </c>
      <c r="D1250" s="107" t="s">
        <v>917</v>
      </c>
      <c r="E1250" s="19" t="s">
        <v>102</v>
      </c>
      <c r="F1250" s="60">
        <v>2221</v>
      </c>
      <c r="G1250" s="32">
        <v>35400</v>
      </c>
      <c r="H1250" s="210">
        <v>44202</v>
      </c>
      <c r="I1250" s="90">
        <v>0</v>
      </c>
      <c r="J1250" s="90">
        <f t="shared" si="38"/>
        <v>35400</v>
      </c>
      <c r="K1250" s="90" t="str">
        <f t="shared" si="37"/>
        <v>ATRASADO</v>
      </c>
    </row>
    <row r="1251" spans="2:11">
      <c r="B1251" s="36">
        <v>44203</v>
      </c>
      <c r="C1251" s="35" t="s">
        <v>922</v>
      </c>
      <c r="D1251" s="107" t="s">
        <v>917</v>
      </c>
      <c r="E1251" s="19" t="s">
        <v>102</v>
      </c>
      <c r="F1251" s="60">
        <v>2221</v>
      </c>
      <c r="G1251" s="32">
        <v>35400</v>
      </c>
      <c r="H1251" s="210">
        <v>44203</v>
      </c>
      <c r="I1251" s="90">
        <v>0</v>
      </c>
      <c r="J1251" s="90">
        <f t="shared" si="38"/>
        <v>35400</v>
      </c>
      <c r="K1251" s="90" t="str">
        <f t="shared" si="37"/>
        <v>ATRASADO</v>
      </c>
    </row>
    <row r="1252" spans="2:11">
      <c r="B1252" s="36"/>
      <c r="C1252" s="35"/>
      <c r="D1252" s="13"/>
      <c r="E1252" s="19"/>
      <c r="F1252" s="60"/>
      <c r="G1252" s="32"/>
      <c r="H1252" s="210"/>
      <c r="I1252" s="90"/>
      <c r="J1252" s="90" t="str">
        <f t="shared" si="38"/>
        <v/>
      </c>
      <c r="K1252" s="90"/>
    </row>
    <row r="1253" spans="2:11">
      <c r="B1253" s="36">
        <v>40461</v>
      </c>
      <c r="C1253" s="35" t="s">
        <v>387</v>
      </c>
      <c r="D1253" s="13" t="s">
        <v>388</v>
      </c>
      <c r="E1253" s="19" t="s">
        <v>102</v>
      </c>
      <c r="F1253" s="60">
        <v>2221</v>
      </c>
      <c r="G1253" s="32">
        <v>58000</v>
      </c>
      <c r="H1253" s="210">
        <v>40461</v>
      </c>
      <c r="I1253" s="90">
        <v>0</v>
      </c>
      <c r="J1253" s="90">
        <f t="shared" si="38"/>
        <v>58000</v>
      </c>
      <c r="K1253" s="90" t="str">
        <f t="shared" si="37"/>
        <v>ATRASADO</v>
      </c>
    </row>
    <row r="1254" spans="2:11">
      <c r="B1254" s="36">
        <v>40487</v>
      </c>
      <c r="C1254" s="35" t="s">
        <v>389</v>
      </c>
      <c r="D1254" s="13" t="s">
        <v>388</v>
      </c>
      <c r="E1254" s="19" t="s">
        <v>102</v>
      </c>
      <c r="F1254" s="60">
        <v>2221</v>
      </c>
      <c r="G1254" s="32">
        <v>58000</v>
      </c>
      <c r="H1254" s="210">
        <v>40487</v>
      </c>
      <c r="I1254" s="90">
        <v>0</v>
      </c>
      <c r="J1254" s="90">
        <f t="shared" si="38"/>
        <v>58000</v>
      </c>
      <c r="K1254" s="90" t="str">
        <f t="shared" si="37"/>
        <v>ATRASADO</v>
      </c>
    </row>
    <row r="1255" spans="2:11">
      <c r="B1255" s="36">
        <v>40553</v>
      </c>
      <c r="C1255" s="35" t="s">
        <v>390</v>
      </c>
      <c r="D1255" s="13" t="s">
        <v>388</v>
      </c>
      <c r="E1255" s="19" t="s">
        <v>102</v>
      </c>
      <c r="F1255" s="60">
        <v>2221</v>
      </c>
      <c r="G1255" s="32">
        <v>58000</v>
      </c>
      <c r="H1255" s="210">
        <v>40553</v>
      </c>
      <c r="I1255" s="90">
        <v>0</v>
      </c>
      <c r="J1255" s="90">
        <f t="shared" si="38"/>
        <v>58000</v>
      </c>
      <c r="K1255" s="90" t="str">
        <f t="shared" si="37"/>
        <v>ATRASADO</v>
      </c>
    </row>
    <row r="1256" spans="2:11">
      <c r="B1256" s="36">
        <v>40518</v>
      </c>
      <c r="C1256" s="35" t="s">
        <v>391</v>
      </c>
      <c r="D1256" s="13" t="s">
        <v>388</v>
      </c>
      <c r="E1256" s="19" t="s">
        <v>102</v>
      </c>
      <c r="F1256" s="60">
        <v>2221</v>
      </c>
      <c r="G1256" s="32">
        <f>58000-56750</f>
        <v>1250</v>
      </c>
      <c r="H1256" s="210">
        <v>40518</v>
      </c>
      <c r="I1256" s="90">
        <v>0</v>
      </c>
      <c r="J1256" s="90">
        <f t="shared" si="38"/>
        <v>1250</v>
      </c>
      <c r="K1256" s="90" t="str">
        <f t="shared" si="37"/>
        <v>ATRASADO</v>
      </c>
    </row>
    <row r="1257" spans="2:11">
      <c r="B1257" s="36"/>
      <c r="C1257" s="35"/>
      <c r="D1257" s="13"/>
      <c r="E1257" s="19"/>
      <c r="F1257" s="60"/>
      <c r="G1257" s="32"/>
      <c r="H1257" s="210"/>
      <c r="I1257" s="90"/>
      <c r="J1257" s="90" t="str">
        <f t="shared" si="38"/>
        <v/>
      </c>
      <c r="K1257" s="90"/>
    </row>
    <row r="1258" spans="2:11">
      <c r="B1258" s="36">
        <v>40729</v>
      </c>
      <c r="C1258" s="38" t="s">
        <v>269</v>
      </c>
      <c r="D1258" s="13" t="s">
        <v>253</v>
      </c>
      <c r="E1258" s="19" t="s">
        <v>254</v>
      </c>
      <c r="F1258" s="60">
        <v>2671</v>
      </c>
      <c r="G1258" s="32">
        <v>4810000</v>
      </c>
      <c r="H1258" s="210">
        <v>40729</v>
      </c>
      <c r="I1258" s="90">
        <v>0</v>
      </c>
      <c r="J1258" s="90">
        <f t="shared" si="38"/>
        <v>4810000</v>
      </c>
      <c r="K1258" s="90" t="str">
        <f t="shared" si="37"/>
        <v>ATRASADO</v>
      </c>
    </row>
    <row r="1259" spans="2:11">
      <c r="B1259" s="36"/>
      <c r="C1259" s="38"/>
      <c r="D1259" s="13"/>
      <c r="E1259" s="19"/>
      <c r="F1259" s="60"/>
      <c r="G1259" s="32"/>
      <c r="H1259" s="210"/>
      <c r="I1259" s="90"/>
      <c r="J1259" s="90" t="str">
        <f t="shared" si="38"/>
        <v/>
      </c>
      <c r="K1259" s="90"/>
    </row>
    <row r="1260" spans="2:11">
      <c r="B1260" s="36">
        <v>40755</v>
      </c>
      <c r="C1260" s="38" t="s">
        <v>382</v>
      </c>
      <c r="D1260" s="13" t="s">
        <v>383</v>
      </c>
      <c r="E1260" s="19" t="s">
        <v>381</v>
      </c>
      <c r="F1260" s="60">
        <v>2251</v>
      </c>
      <c r="G1260" s="32">
        <v>66000</v>
      </c>
      <c r="H1260" s="210">
        <v>40755</v>
      </c>
      <c r="I1260" s="90">
        <v>0</v>
      </c>
      <c r="J1260" s="90">
        <f t="shared" si="38"/>
        <v>66000</v>
      </c>
      <c r="K1260" s="90" t="str">
        <f t="shared" ref="K1260:K1321" si="39">IF(J1260&gt;0,"ATRASADO","")</f>
        <v>ATRASADO</v>
      </c>
    </row>
    <row r="1261" spans="2:11">
      <c r="B1261" s="36">
        <v>39989</v>
      </c>
      <c r="C1261" s="38" t="s">
        <v>458</v>
      </c>
      <c r="D1261" s="13" t="s">
        <v>383</v>
      </c>
      <c r="E1261" s="19" t="s">
        <v>381</v>
      </c>
      <c r="F1261" s="60">
        <v>2251</v>
      </c>
      <c r="G1261" s="32">
        <v>20000</v>
      </c>
      <c r="H1261" s="210">
        <v>39989</v>
      </c>
      <c r="I1261" s="90">
        <v>0</v>
      </c>
      <c r="J1261" s="90">
        <f t="shared" si="38"/>
        <v>20000</v>
      </c>
      <c r="K1261" s="90" t="str">
        <f t="shared" si="39"/>
        <v>ATRASADO</v>
      </c>
    </row>
    <row r="1262" spans="2:11">
      <c r="B1262" s="36"/>
      <c r="C1262" s="38"/>
      <c r="D1262" s="13"/>
      <c r="E1262" s="19"/>
      <c r="F1262" s="60"/>
      <c r="G1262" s="32"/>
      <c r="H1262" s="210"/>
      <c r="I1262" s="90"/>
      <c r="J1262" s="90" t="str">
        <f t="shared" si="38"/>
        <v/>
      </c>
      <c r="K1262" s="90"/>
    </row>
    <row r="1263" spans="2:11">
      <c r="B1263" s="36">
        <v>40387</v>
      </c>
      <c r="C1263" s="35" t="s">
        <v>421</v>
      </c>
      <c r="D1263" s="13" t="s">
        <v>422</v>
      </c>
      <c r="E1263" s="19" t="s">
        <v>553</v>
      </c>
      <c r="F1263" s="60">
        <v>2355</v>
      </c>
      <c r="G1263" s="32">
        <v>192125.2</v>
      </c>
      <c r="H1263" s="210">
        <v>40387</v>
      </c>
      <c r="I1263" s="90">
        <v>0</v>
      </c>
      <c r="J1263" s="90">
        <f t="shared" si="38"/>
        <v>192125.2</v>
      </c>
      <c r="K1263" s="90" t="str">
        <f t="shared" si="39"/>
        <v>ATRASADO</v>
      </c>
    </row>
    <row r="1264" spans="2:11">
      <c r="B1264" s="36"/>
      <c r="C1264" s="35"/>
      <c r="D1264" s="13"/>
      <c r="E1264" s="19"/>
      <c r="F1264" s="60"/>
      <c r="G1264" s="32"/>
      <c r="H1264" s="210"/>
      <c r="I1264" s="90"/>
      <c r="J1264" s="90" t="str">
        <f t="shared" si="38"/>
        <v/>
      </c>
      <c r="K1264" s="90"/>
    </row>
    <row r="1265" spans="2:11">
      <c r="B1265" s="11">
        <v>40184</v>
      </c>
      <c r="C1265" s="21" t="s">
        <v>312</v>
      </c>
      <c r="D1265" s="13" t="s">
        <v>313</v>
      </c>
      <c r="E1265" s="19" t="s">
        <v>102</v>
      </c>
      <c r="F1265" s="60">
        <v>2221</v>
      </c>
      <c r="G1265" s="32">
        <v>20000</v>
      </c>
      <c r="H1265" s="87">
        <v>40184</v>
      </c>
      <c r="I1265" s="90">
        <v>0</v>
      </c>
      <c r="J1265" s="90">
        <f t="shared" si="38"/>
        <v>20000</v>
      </c>
      <c r="K1265" s="90" t="str">
        <f t="shared" si="39"/>
        <v>ATRASADO</v>
      </c>
    </row>
    <row r="1266" spans="2:11">
      <c r="B1266" s="11">
        <v>40209</v>
      </c>
      <c r="C1266" s="21" t="s">
        <v>314</v>
      </c>
      <c r="D1266" s="13" t="s">
        <v>313</v>
      </c>
      <c r="E1266" s="19" t="s">
        <v>102</v>
      </c>
      <c r="F1266" s="60">
        <v>2221</v>
      </c>
      <c r="G1266" s="32">
        <v>20000</v>
      </c>
      <c r="H1266" s="87">
        <v>40209</v>
      </c>
      <c r="I1266" s="90">
        <v>0</v>
      </c>
      <c r="J1266" s="90">
        <f t="shared" si="38"/>
        <v>20000</v>
      </c>
      <c r="K1266" s="90" t="str">
        <f t="shared" si="39"/>
        <v>ATRASADO</v>
      </c>
    </row>
    <row r="1267" spans="2:11">
      <c r="B1267" s="24">
        <v>40237</v>
      </c>
      <c r="C1267" s="21" t="s">
        <v>315</v>
      </c>
      <c r="D1267" s="13" t="s">
        <v>313</v>
      </c>
      <c r="E1267" s="19" t="s">
        <v>102</v>
      </c>
      <c r="F1267" s="60">
        <v>2221</v>
      </c>
      <c r="G1267" s="32">
        <v>20000</v>
      </c>
      <c r="H1267" s="87">
        <v>40237</v>
      </c>
      <c r="I1267" s="90">
        <v>0</v>
      </c>
      <c r="J1267" s="90">
        <f t="shared" si="38"/>
        <v>20000</v>
      </c>
      <c r="K1267" s="90" t="str">
        <f t="shared" si="39"/>
        <v>ATRASADO</v>
      </c>
    </row>
    <row r="1268" spans="2:11">
      <c r="B1268" s="11">
        <v>40326</v>
      </c>
      <c r="C1268" s="21" t="s">
        <v>316</v>
      </c>
      <c r="D1268" s="13" t="s">
        <v>313</v>
      </c>
      <c r="E1268" s="19" t="s">
        <v>102</v>
      </c>
      <c r="F1268" s="60">
        <v>2221</v>
      </c>
      <c r="G1268" s="32">
        <v>20000</v>
      </c>
      <c r="H1268" s="87">
        <v>40326</v>
      </c>
      <c r="I1268" s="90">
        <v>0</v>
      </c>
      <c r="J1268" s="90">
        <f t="shared" si="38"/>
        <v>20000</v>
      </c>
      <c r="K1268" s="90" t="str">
        <f t="shared" si="39"/>
        <v>ATRASADO</v>
      </c>
    </row>
    <row r="1269" spans="2:11">
      <c r="B1269" s="11">
        <v>40358</v>
      </c>
      <c r="C1269" s="21" t="s">
        <v>317</v>
      </c>
      <c r="D1269" s="13" t="s">
        <v>313</v>
      </c>
      <c r="E1269" s="19" t="s">
        <v>102</v>
      </c>
      <c r="F1269" s="60">
        <v>2221</v>
      </c>
      <c r="G1269" s="32">
        <v>20000</v>
      </c>
      <c r="H1269" s="87">
        <v>40358</v>
      </c>
      <c r="I1269" s="90">
        <v>0</v>
      </c>
      <c r="J1269" s="90">
        <f t="shared" si="38"/>
        <v>20000</v>
      </c>
      <c r="K1269" s="90" t="str">
        <f t="shared" si="39"/>
        <v>ATRASADO</v>
      </c>
    </row>
    <row r="1270" spans="2:11">
      <c r="B1270" s="11">
        <v>40388</v>
      </c>
      <c r="C1270" s="21" t="s">
        <v>318</v>
      </c>
      <c r="D1270" s="13" t="s">
        <v>313</v>
      </c>
      <c r="E1270" s="19" t="s">
        <v>102</v>
      </c>
      <c r="F1270" s="60">
        <v>2221</v>
      </c>
      <c r="G1270" s="32">
        <v>20000</v>
      </c>
      <c r="H1270" s="87">
        <v>40388</v>
      </c>
      <c r="I1270" s="90">
        <v>0</v>
      </c>
      <c r="J1270" s="90">
        <f t="shared" si="38"/>
        <v>20000</v>
      </c>
      <c r="K1270" s="90" t="str">
        <f t="shared" si="39"/>
        <v>ATRASADO</v>
      </c>
    </row>
    <row r="1271" spans="2:11">
      <c r="B1271" s="11">
        <v>40419</v>
      </c>
      <c r="C1271" s="21" t="s">
        <v>319</v>
      </c>
      <c r="D1271" s="13" t="s">
        <v>313</v>
      </c>
      <c r="E1271" s="19" t="s">
        <v>102</v>
      </c>
      <c r="F1271" s="60">
        <v>2221</v>
      </c>
      <c r="G1271" s="32">
        <v>20000</v>
      </c>
      <c r="H1271" s="87">
        <v>40419</v>
      </c>
      <c r="I1271" s="90">
        <v>0</v>
      </c>
      <c r="J1271" s="90">
        <f t="shared" si="38"/>
        <v>20000</v>
      </c>
      <c r="K1271" s="90" t="str">
        <f t="shared" si="39"/>
        <v>ATRASADO</v>
      </c>
    </row>
    <row r="1272" spans="2:11">
      <c r="B1272" s="11"/>
      <c r="C1272" s="21"/>
      <c r="D1272" s="13"/>
      <c r="E1272" s="19"/>
      <c r="F1272" s="60"/>
      <c r="G1272" s="32"/>
      <c r="H1272" s="87"/>
      <c r="I1272" s="90"/>
      <c r="J1272" s="90" t="str">
        <f t="shared" si="38"/>
        <v/>
      </c>
      <c r="K1272" s="90"/>
    </row>
    <row r="1273" spans="2:11">
      <c r="B1273" s="11">
        <v>40543</v>
      </c>
      <c r="C1273" s="18" t="s">
        <v>320</v>
      </c>
      <c r="D1273" s="13" t="s">
        <v>321</v>
      </c>
      <c r="E1273" s="19" t="s">
        <v>322</v>
      </c>
      <c r="F1273" s="60">
        <v>2671</v>
      </c>
      <c r="G1273" s="32">
        <v>5875000</v>
      </c>
      <c r="H1273" s="87">
        <v>40543</v>
      </c>
      <c r="I1273" s="90">
        <v>0</v>
      </c>
      <c r="J1273" s="90">
        <f t="shared" si="38"/>
        <v>5875000</v>
      </c>
      <c r="K1273" s="90" t="str">
        <f t="shared" si="39"/>
        <v>ATRASADO</v>
      </c>
    </row>
    <row r="1274" spans="2:11">
      <c r="B1274" s="11"/>
      <c r="C1274" s="18"/>
      <c r="D1274" s="13"/>
      <c r="E1274" s="19"/>
      <c r="F1274" s="60"/>
      <c r="G1274" s="32"/>
      <c r="H1274" s="87"/>
      <c r="I1274" s="90"/>
      <c r="J1274" s="90" t="str">
        <f t="shared" si="38"/>
        <v/>
      </c>
      <c r="K1274" s="90"/>
    </row>
    <row r="1275" spans="2:11">
      <c r="B1275" s="36">
        <v>40653</v>
      </c>
      <c r="C1275" s="35" t="s">
        <v>551</v>
      </c>
      <c r="D1275" s="13" t="s">
        <v>550</v>
      </c>
      <c r="E1275" s="19" t="s">
        <v>120</v>
      </c>
      <c r="F1275" s="60">
        <v>2355</v>
      </c>
      <c r="G1275" s="32">
        <v>43521.29</v>
      </c>
      <c r="H1275" s="210">
        <v>40653</v>
      </c>
      <c r="I1275" s="90">
        <v>0</v>
      </c>
      <c r="J1275" s="90">
        <f t="shared" si="38"/>
        <v>43521.29</v>
      </c>
      <c r="K1275" s="90" t="str">
        <f t="shared" si="39"/>
        <v>ATRASADO</v>
      </c>
    </row>
    <row r="1276" spans="2:11">
      <c r="B1276" s="36"/>
      <c r="C1276" s="35"/>
      <c r="D1276" s="13"/>
      <c r="E1276" s="19"/>
      <c r="F1276" s="60"/>
      <c r="G1276" s="32"/>
      <c r="H1276" s="210"/>
      <c r="I1276" s="90"/>
      <c r="J1276" s="90" t="str">
        <f t="shared" si="38"/>
        <v/>
      </c>
      <c r="K1276" s="90"/>
    </row>
    <row r="1277" spans="2:11">
      <c r="B1277" s="36" t="s">
        <v>459</v>
      </c>
      <c r="C1277" s="35" t="s">
        <v>460</v>
      </c>
      <c r="D1277" s="13" t="s">
        <v>393</v>
      </c>
      <c r="E1277" s="19" t="s">
        <v>102</v>
      </c>
      <c r="F1277" s="60">
        <v>2221</v>
      </c>
      <c r="G1277" s="32">
        <v>23200</v>
      </c>
      <c r="H1277" s="210" t="s">
        <v>459</v>
      </c>
      <c r="I1277" s="90">
        <v>0</v>
      </c>
      <c r="J1277" s="90">
        <f t="shared" si="38"/>
        <v>23200</v>
      </c>
      <c r="K1277" s="90" t="str">
        <f t="shared" si="39"/>
        <v>ATRASADO</v>
      </c>
    </row>
    <row r="1278" spans="2:11">
      <c r="B1278" s="36" t="s">
        <v>459</v>
      </c>
      <c r="C1278" s="35" t="s">
        <v>461</v>
      </c>
      <c r="D1278" s="13" t="s">
        <v>393</v>
      </c>
      <c r="E1278" s="19" t="s">
        <v>102</v>
      </c>
      <c r="F1278" s="60">
        <v>2221</v>
      </c>
      <c r="G1278" s="32">
        <v>23200</v>
      </c>
      <c r="H1278" s="210" t="s">
        <v>459</v>
      </c>
      <c r="I1278" s="90">
        <v>0</v>
      </c>
      <c r="J1278" s="90">
        <f t="shared" si="38"/>
        <v>23200</v>
      </c>
      <c r="K1278" s="90" t="str">
        <f t="shared" si="39"/>
        <v>ATRASADO</v>
      </c>
    </row>
    <row r="1279" spans="2:11">
      <c r="B1279" s="36" t="s">
        <v>459</v>
      </c>
      <c r="C1279" s="35" t="s">
        <v>462</v>
      </c>
      <c r="D1279" s="13" t="s">
        <v>393</v>
      </c>
      <c r="E1279" s="19" t="s">
        <v>102</v>
      </c>
      <c r="F1279" s="60">
        <v>2221</v>
      </c>
      <c r="G1279" s="32">
        <v>23200</v>
      </c>
      <c r="H1279" s="210" t="s">
        <v>459</v>
      </c>
      <c r="I1279" s="90">
        <v>0</v>
      </c>
      <c r="J1279" s="90">
        <f t="shared" si="38"/>
        <v>23200</v>
      </c>
      <c r="K1279" s="90" t="str">
        <f t="shared" si="39"/>
        <v>ATRASADO</v>
      </c>
    </row>
    <row r="1280" spans="2:11">
      <c r="B1280" s="36">
        <v>40571</v>
      </c>
      <c r="C1280" s="35" t="s">
        <v>463</v>
      </c>
      <c r="D1280" s="13" t="s">
        <v>393</v>
      </c>
      <c r="E1280" s="19" t="s">
        <v>102</v>
      </c>
      <c r="F1280" s="60">
        <v>2221</v>
      </c>
      <c r="G1280" s="32">
        <v>23200</v>
      </c>
      <c r="H1280" s="210">
        <v>40571</v>
      </c>
      <c r="I1280" s="90">
        <v>0</v>
      </c>
      <c r="J1280" s="90">
        <f t="shared" si="38"/>
        <v>23200</v>
      </c>
      <c r="K1280" s="90" t="str">
        <f t="shared" si="39"/>
        <v>ATRASADO</v>
      </c>
    </row>
    <row r="1281" spans="2:11">
      <c r="B1281" s="36">
        <v>40623</v>
      </c>
      <c r="C1281" s="35" t="s">
        <v>392</v>
      </c>
      <c r="D1281" s="13" t="s">
        <v>393</v>
      </c>
      <c r="E1281" s="19" t="s">
        <v>102</v>
      </c>
      <c r="F1281" s="60">
        <v>2221</v>
      </c>
      <c r="G1281" s="32">
        <v>23200</v>
      </c>
      <c r="H1281" s="210">
        <v>40623</v>
      </c>
      <c r="I1281" s="90">
        <v>0</v>
      </c>
      <c r="J1281" s="90">
        <f t="shared" si="38"/>
        <v>23200</v>
      </c>
      <c r="K1281" s="90" t="str">
        <f t="shared" si="39"/>
        <v>ATRASADO</v>
      </c>
    </row>
    <row r="1282" spans="2:11">
      <c r="B1282" s="36">
        <v>40644</v>
      </c>
      <c r="C1282" s="35" t="s">
        <v>394</v>
      </c>
      <c r="D1282" s="13" t="s">
        <v>393</v>
      </c>
      <c r="E1282" s="19" t="s">
        <v>102</v>
      </c>
      <c r="F1282" s="60">
        <v>2221</v>
      </c>
      <c r="G1282" s="32">
        <v>23200</v>
      </c>
      <c r="H1282" s="210">
        <v>40644</v>
      </c>
      <c r="I1282" s="90">
        <v>0</v>
      </c>
      <c r="J1282" s="90">
        <f t="shared" si="38"/>
        <v>23200</v>
      </c>
      <c r="K1282" s="90" t="str">
        <f t="shared" si="39"/>
        <v>ATRASADO</v>
      </c>
    </row>
    <row r="1283" spans="2:11">
      <c r="B1283" s="36">
        <v>40644</v>
      </c>
      <c r="C1283" s="35" t="s">
        <v>395</v>
      </c>
      <c r="D1283" s="13" t="s">
        <v>393</v>
      </c>
      <c r="E1283" s="19" t="s">
        <v>102</v>
      </c>
      <c r="F1283" s="60">
        <v>2221</v>
      </c>
      <c r="G1283" s="32">
        <v>23200</v>
      </c>
      <c r="H1283" s="210">
        <v>40644</v>
      </c>
      <c r="I1283" s="90">
        <v>0</v>
      </c>
      <c r="J1283" s="90">
        <f t="shared" si="38"/>
        <v>23200</v>
      </c>
      <c r="K1283" s="90" t="str">
        <f t="shared" si="39"/>
        <v>ATRASADO</v>
      </c>
    </row>
    <row r="1284" spans="2:11">
      <c r="B1284" s="36"/>
      <c r="C1284" s="35"/>
      <c r="D1284" s="13"/>
      <c r="E1284" s="19"/>
      <c r="F1284" s="60"/>
      <c r="G1284" s="32"/>
      <c r="H1284" s="210"/>
      <c r="I1284" s="90"/>
      <c r="J1284" s="90" t="str">
        <f t="shared" si="38"/>
        <v/>
      </c>
      <c r="K1284" s="90"/>
    </row>
    <row r="1285" spans="2:11">
      <c r="B1285" s="11">
        <v>40268</v>
      </c>
      <c r="C1285" s="21" t="s">
        <v>323</v>
      </c>
      <c r="D1285" s="13" t="s">
        <v>324</v>
      </c>
      <c r="E1285" s="19" t="s">
        <v>6</v>
      </c>
      <c r="F1285" s="60">
        <v>2254</v>
      </c>
      <c r="G1285" s="32">
        <v>79750</v>
      </c>
      <c r="H1285" s="87">
        <v>40268</v>
      </c>
      <c r="I1285" s="90">
        <v>0</v>
      </c>
      <c r="J1285" s="90">
        <f t="shared" si="38"/>
        <v>79750</v>
      </c>
      <c r="K1285" s="90" t="str">
        <f t="shared" si="39"/>
        <v>ATRASADO</v>
      </c>
    </row>
    <row r="1286" spans="2:11">
      <c r="B1286" s="11">
        <v>40298</v>
      </c>
      <c r="C1286" s="21" t="s">
        <v>325</v>
      </c>
      <c r="D1286" s="13" t="s">
        <v>324</v>
      </c>
      <c r="E1286" s="19" t="s">
        <v>6</v>
      </c>
      <c r="F1286" s="60">
        <v>2254</v>
      </c>
      <c r="G1286" s="32">
        <v>171150</v>
      </c>
      <c r="H1286" s="87">
        <v>40298</v>
      </c>
      <c r="I1286" s="90">
        <v>0</v>
      </c>
      <c r="J1286" s="90">
        <f t="shared" si="38"/>
        <v>171150</v>
      </c>
      <c r="K1286" s="90" t="str">
        <f t="shared" si="39"/>
        <v>ATRASADO</v>
      </c>
    </row>
    <row r="1287" spans="2:11">
      <c r="B1287" s="11">
        <v>40329</v>
      </c>
      <c r="C1287" s="21" t="s">
        <v>326</v>
      </c>
      <c r="D1287" s="13" t="s">
        <v>324</v>
      </c>
      <c r="E1287" s="19" t="s">
        <v>6</v>
      </c>
      <c r="F1287" s="60">
        <v>2254</v>
      </c>
      <c r="G1287" s="32">
        <v>163000</v>
      </c>
      <c r="H1287" s="87">
        <v>40329</v>
      </c>
      <c r="I1287" s="90">
        <v>0</v>
      </c>
      <c r="J1287" s="90">
        <f t="shared" si="38"/>
        <v>163000</v>
      </c>
      <c r="K1287" s="90" t="str">
        <f t="shared" si="39"/>
        <v>ATRASADO</v>
      </c>
    </row>
    <row r="1288" spans="2:11">
      <c r="B1288" s="11">
        <v>40359</v>
      </c>
      <c r="C1288" s="21" t="s">
        <v>327</v>
      </c>
      <c r="D1288" s="13" t="s">
        <v>324</v>
      </c>
      <c r="E1288" s="19" t="s">
        <v>6</v>
      </c>
      <c r="F1288" s="60">
        <v>2254</v>
      </c>
      <c r="G1288" s="32">
        <v>179300</v>
      </c>
      <c r="H1288" s="87">
        <v>40359</v>
      </c>
      <c r="I1288" s="90">
        <v>0</v>
      </c>
      <c r="J1288" s="90">
        <f t="shared" si="38"/>
        <v>179300</v>
      </c>
      <c r="K1288" s="90" t="str">
        <f t="shared" si="39"/>
        <v>ATRASADO</v>
      </c>
    </row>
    <row r="1289" spans="2:11">
      <c r="B1289" s="11">
        <v>40390</v>
      </c>
      <c r="C1289" s="21" t="s">
        <v>328</v>
      </c>
      <c r="D1289" s="13" t="s">
        <v>324</v>
      </c>
      <c r="E1289" s="19" t="s">
        <v>6</v>
      </c>
      <c r="F1289" s="60">
        <v>2254</v>
      </c>
      <c r="G1289" s="32">
        <v>65200</v>
      </c>
      <c r="H1289" s="87">
        <v>40390</v>
      </c>
      <c r="I1289" s="90">
        <v>0</v>
      </c>
      <c r="J1289" s="90">
        <f t="shared" si="38"/>
        <v>65200</v>
      </c>
      <c r="K1289" s="90" t="str">
        <f t="shared" si="39"/>
        <v>ATRASADO</v>
      </c>
    </row>
    <row r="1290" spans="2:11">
      <c r="B1290" s="11"/>
      <c r="C1290" s="21"/>
      <c r="D1290" s="13"/>
      <c r="E1290" s="19"/>
      <c r="F1290" s="60"/>
      <c r="G1290" s="32"/>
      <c r="H1290" s="87"/>
      <c r="I1290" s="90"/>
      <c r="J1290" s="90" t="str">
        <f t="shared" si="38"/>
        <v/>
      </c>
      <c r="K1290" s="90"/>
    </row>
    <row r="1291" spans="2:11">
      <c r="B1291" s="36">
        <v>40297</v>
      </c>
      <c r="C1291" s="44">
        <v>100024380</v>
      </c>
      <c r="D1291" s="13" t="s">
        <v>423</v>
      </c>
      <c r="E1291" s="19" t="s">
        <v>138</v>
      </c>
      <c r="F1291" s="60">
        <v>2332</v>
      </c>
      <c r="G1291" s="32">
        <v>69600</v>
      </c>
      <c r="H1291" s="210">
        <v>40297</v>
      </c>
      <c r="I1291" s="90">
        <v>0</v>
      </c>
      <c r="J1291" s="90">
        <f t="shared" si="38"/>
        <v>69600</v>
      </c>
      <c r="K1291" s="90" t="str">
        <f t="shared" si="39"/>
        <v>ATRASADO</v>
      </c>
    </row>
    <row r="1292" spans="2:11">
      <c r="B1292" s="36"/>
      <c r="C1292" s="44"/>
      <c r="D1292" s="13"/>
      <c r="E1292" s="19"/>
      <c r="F1292" s="60"/>
      <c r="G1292" s="32"/>
      <c r="H1292" s="210"/>
      <c r="I1292" s="90"/>
      <c r="J1292" s="90" t="str">
        <f t="shared" si="38"/>
        <v/>
      </c>
      <c r="K1292" s="90"/>
    </row>
    <row r="1293" spans="2:11">
      <c r="B1293" s="36">
        <v>40011</v>
      </c>
      <c r="C1293" s="35" t="s">
        <v>529</v>
      </c>
      <c r="D1293" s="13" t="s">
        <v>530</v>
      </c>
      <c r="E1293" s="19" t="s">
        <v>120</v>
      </c>
      <c r="F1293" s="60">
        <v>2355</v>
      </c>
      <c r="G1293" s="32">
        <v>86465.24</v>
      </c>
      <c r="H1293" s="210">
        <v>40011</v>
      </c>
      <c r="I1293" s="90">
        <v>0</v>
      </c>
      <c r="J1293" s="90">
        <f t="shared" si="38"/>
        <v>86465.24</v>
      </c>
      <c r="K1293" s="90" t="str">
        <f t="shared" si="39"/>
        <v>ATRASADO</v>
      </c>
    </row>
    <row r="1294" spans="2:11">
      <c r="B1294" s="36"/>
      <c r="C1294" s="35"/>
      <c r="D1294" s="13"/>
      <c r="E1294" s="19"/>
      <c r="F1294" s="60"/>
      <c r="G1294" s="32"/>
      <c r="H1294" s="210"/>
      <c r="I1294" s="90"/>
      <c r="J1294" s="90" t="str">
        <f t="shared" si="38"/>
        <v/>
      </c>
      <c r="K1294" s="90"/>
    </row>
    <row r="1295" spans="2:11">
      <c r="B1295" s="36">
        <v>41275</v>
      </c>
      <c r="C1295" s="35" t="s">
        <v>540</v>
      </c>
      <c r="D1295" s="13" t="s">
        <v>543</v>
      </c>
      <c r="E1295" s="19" t="s">
        <v>102</v>
      </c>
      <c r="F1295" s="60">
        <v>2221</v>
      </c>
      <c r="G1295" s="32">
        <v>12470</v>
      </c>
      <c r="H1295" s="210">
        <v>41275</v>
      </c>
      <c r="I1295" s="90">
        <v>0</v>
      </c>
      <c r="J1295" s="90">
        <f t="shared" si="38"/>
        <v>12470</v>
      </c>
      <c r="K1295" s="90" t="str">
        <f t="shared" si="39"/>
        <v>ATRASADO</v>
      </c>
    </row>
    <row r="1296" spans="2:11">
      <c r="B1296" s="36">
        <v>41275</v>
      </c>
      <c r="C1296" s="35" t="s">
        <v>541</v>
      </c>
      <c r="D1296" s="13" t="s">
        <v>543</v>
      </c>
      <c r="E1296" s="19" t="s">
        <v>102</v>
      </c>
      <c r="F1296" s="60">
        <v>2221</v>
      </c>
      <c r="G1296" s="32">
        <v>11310</v>
      </c>
      <c r="H1296" s="210">
        <v>41275</v>
      </c>
      <c r="I1296" s="90">
        <v>0</v>
      </c>
      <c r="J1296" s="90">
        <f t="shared" ref="J1296:J1359" si="40">IF(G1296&gt;0,G1296,"")</f>
        <v>11310</v>
      </c>
      <c r="K1296" s="90" t="str">
        <f t="shared" si="39"/>
        <v>ATRASADO</v>
      </c>
    </row>
    <row r="1297" spans="2:11">
      <c r="B1297" s="36">
        <v>41162</v>
      </c>
      <c r="C1297" s="35" t="s">
        <v>542</v>
      </c>
      <c r="D1297" s="13" t="s">
        <v>543</v>
      </c>
      <c r="E1297" s="19" t="s">
        <v>102</v>
      </c>
      <c r="F1297" s="60">
        <v>2221</v>
      </c>
      <c r="G1297" s="32">
        <v>26807.599999999999</v>
      </c>
      <c r="H1297" s="210">
        <v>41162</v>
      </c>
      <c r="I1297" s="90">
        <v>0</v>
      </c>
      <c r="J1297" s="90">
        <f t="shared" si="40"/>
        <v>26807.599999999999</v>
      </c>
      <c r="K1297" s="90" t="str">
        <f t="shared" si="39"/>
        <v>ATRASADO</v>
      </c>
    </row>
    <row r="1298" spans="2:11">
      <c r="B1298" s="36"/>
      <c r="C1298" s="35"/>
      <c r="D1298" s="13"/>
      <c r="E1298" s="19"/>
      <c r="F1298" s="60"/>
      <c r="G1298" s="32"/>
      <c r="H1298" s="210"/>
      <c r="I1298" s="90"/>
      <c r="J1298" s="90" t="str">
        <f t="shared" si="40"/>
        <v/>
      </c>
      <c r="K1298" s="90"/>
    </row>
    <row r="1299" spans="2:11">
      <c r="B1299" s="11">
        <v>40252</v>
      </c>
      <c r="C1299" s="21" t="s">
        <v>229</v>
      </c>
      <c r="D1299" s="13" t="s">
        <v>329</v>
      </c>
      <c r="E1299" s="19" t="s">
        <v>102</v>
      </c>
      <c r="F1299" s="60">
        <v>2221</v>
      </c>
      <c r="G1299" s="32">
        <v>92800</v>
      </c>
      <c r="H1299" s="87">
        <v>40252</v>
      </c>
      <c r="I1299" s="90">
        <v>0</v>
      </c>
      <c r="J1299" s="90">
        <f t="shared" si="40"/>
        <v>92800</v>
      </c>
      <c r="K1299" s="90" t="str">
        <f t="shared" si="39"/>
        <v>ATRASADO</v>
      </c>
    </row>
    <row r="1300" spans="2:11">
      <c r="B1300" s="11">
        <v>40376</v>
      </c>
      <c r="C1300" s="21" t="s">
        <v>330</v>
      </c>
      <c r="D1300" s="13" t="s">
        <v>329</v>
      </c>
      <c r="E1300" s="19" t="s">
        <v>102</v>
      </c>
      <c r="F1300" s="60">
        <v>2221</v>
      </c>
      <c r="G1300" s="32">
        <v>92800</v>
      </c>
      <c r="H1300" s="87">
        <v>40376</v>
      </c>
      <c r="I1300" s="90">
        <v>0</v>
      </c>
      <c r="J1300" s="90">
        <f t="shared" si="40"/>
        <v>92800</v>
      </c>
      <c r="K1300" s="90" t="str">
        <f t="shared" si="39"/>
        <v>ATRASADO</v>
      </c>
    </row>
    <row r="1301" spans="2:11">
      <c r="B1301" s="11"/>
      <c r="C1301" s="21"/>
      <c r="D1301" s="13"/>
      <c r="E1301" s="19"/>
      <c r="F1301" s="60"/>
      <c r="G1301" s="32"/>
      <c r="H1301" s="87"/>
      <c r="I1301" s="90"/>
      <c r="J1301" s="90" t="str">
        <f t="shared" si="40"/>
        <v/>
      </c>
      <c r="K1301" s="90"/>
    </row>
    <row r="1302" spans="2:11">
      <c r="B1302" s="36">
        <v>40581</v>
      </c>
      <c r="C1302" s="35" t="s">
        <v>535</v>
      </c>
      <c r="D1302" s="13" t="s">
        <v>537</v>
      </c>
      <c r="E1302" s="19" t="s">
        <v>102</v>
      </c>
      <c r="F1302" s="60">
        <v>2221</v>
      </c>
      <c r="G1302" s="32">
        <v>29000</v>
      </c>
      <c r="H1302" s="210">
        <v>40581</v>
      </c>
      <c r="I1302" s="90">
        <v>0</v>
      </c>
      <c r="J1302" s="90">
        <f t="shared" si="40"/>
        <v>29000</v>
      </c>
      <c r="K1302" s="90" t="str">
        <f t="shared" si="39"/>
        <v>ATRASADO</v>
      </c>
    </row>
    <row r="1303" spans="2:11">
      <c r="B1303" s="36">
        <v>40550</v>
      </c>
      <c r="C1303" s="35" t="s">
        <v>536</v>
      </c>
      <c r="D1303" s="13" t="s">
        <v>537</v>
      </c>
      <c r="E1303" s="19" t="s">
        <v>102</v>
      </c>
      <c r="F1303" s="60">
        <v>2221</v>
      </c>
      <c r="G1303" s="32">
        <v>29000</v>
      </c>
      <c r="H1303" s="210">
        <v>40550</v>
      </c>
      <c r="I1303" s="90">
        <v>0</v>
      </c>
      <c r="J1303" s="90">
        <f t="shared" si="40"/>
        <v>29000</v>
      </c>
      <c r="K1303" s="90" t="str">
        <f t="shared" si="39"/>
        <v>ATRASADO</v>
      </c>
    </row>
    <row r="1304" spans="2:11">
      <c r="B1304" s="36"/>
      <c r="C1304" s="35"/>
      <c r="D1304" s="13"/>
      <c r="E1304" s="19"/>
      <c r="F1304" s="60"/>
      <c r="G1304" s="32"/>
      <c r="H1304" s="210"/>
      <c r="I1304" s="90"/>
      <c r="J1304" s="90" t="str">
        <f t="shared" si="40"/>
        <v/>
      </c>
      <c r="K1304" s="90"/>
    </row>
    <row r="1305" spans="2:11">
      <c r="B1305" s="36">
        <v>40451</v>
      </c>
      <c r="C1305" s="35" t="s">
        <v>544</v>
      </c>
      <c r="D1305" s="13" t="s">
        <v>545</v>
      </c>
      <c r="E1305" s="19" t="s">
        <v>102</v>
      </c>
      <c r="F1305" s="60">
        <v>2221</v>
      </c>
      <c r="G1305" s="32">
        <v>50000</v>
      </c>
      <c r="H1305" s="210">
        <v>40451</v>
      </c>
      <c r="I1305" s="90">
        <v>0</v>
      </c>
      <c r="J1305" s="90">
        <f t="shared" si="40"/>
        <v>50000</v>
      </c>
      <c r="K1305" s="90" t="str">
        <f t="shared" si="39"/>
        <v>ATRASADO</v>
      </c>
    </row>
    <row r="1306" spans="2:11">
      <c r="B1306" s="36"/>
      <c r="C1306" s="35"/>
      <c r="D1306" s="13"/>
      <c r="E1306" s="19"/>
      <c r="F1306" s="60"/>
      <c r="G1306" s="32"/>
      <c r="H1306" s="210"/>
      <c r="I1306" s="90"/>
      <c r="J1306" s="90" t="str">
        <f t="shared" si="40"/>
        <v/>
      </c>
      <c r="K1306" s="90"/>
    </row>
    <row r="1307" spans="2:11">
      <c r="B1307" s="11">
        <v>40268</v>
      </c>
      <c r="C1307" s="21" t="s">
        <v>235</v>
      </c>
      <c r="D1307" s="13" t="s">
        <v>331</v>
      </c>
      <c r="E1307" s="19" t="s">
        <v>102</v>
      </c>
      <c r="F1307" s="60">
        <v>2221</v>
      </c>
      <c r="G1307" s="32">
        <v>23200</v>
      </c>
      <c r="H1307" s="87">
        <v>40268</v>
      </c>
      <c r="I1307" s="90">
        <v>0</v>
      </c>
      <c r="J1307" s="90">
        <f t="shared" si="40"/>
        <v>23200</v>
      </c>
      <c r="K1307" s="90" t="str">
        <f t="shared" si="39"/>
        <v>ATRASADO</v>
      </c>
    </row>
    <row r="1308" spans="2:11">
      <c r="B1308" s="11">
        <v>40298</v>
      </c>
      <c r="C1308" s="21" t="s">
        <v>236</v>
      </c>
      <c r="D1308" s="13" t="s">
        <v>331</v>
      </c>
      <c r="E1308" s="19" t="s">
        <v>102</v>
      </c>
      <c r="F1308" s="60">
        <v>2221</v>
      </c>
      <c r="G1308" s="32">
        <v>23200</v>
      </c>
      <c r="H1308" s="87">
        <v>40298</v>
      </c>
      <c r="I1308" s="90">
        <v>0</v>
      </c>
      <c r="J1308" s="90">
        <f t="shared" si="40"/>
        <v>23200</v>
      </c>
      <c r="K1308" s="90" t="str">
        <f t="shared" si="39"/>
        <v>ATRASADO</v>
      </c>
    </row>
    <row r="1309" spans="2:11">
      <c r="B1309" s="11">
        <v>40329</v>
      </c>
      <c r="C1309" s="21" t="s">
        <v>237</v>
      </c>
      <c r="D1309" s="13" t="s">
        <v>331</v>
      </c>
      <c r="E1309" s="19" t="s">
        <v>102</v>
      </c>
      <c r="F1309" s="60">
        <v>2221</v>
      </c>
      <c r="G1309" s="32">
        <v>23200</v>
      </c>
      <c r="H1309" s="87">
        <v>40329</v>
      </c>
      <c r="I1309" s="90">
        <v>0</v>
      </c>
      <c r="J1309" s="90">
        <f t="shared" si="40"/>
        <v>23200</v>
      </c>
      <c r="K1309" s="90" t="str">
        <f t="shared" si="39"/>
        <v>ATRASADO</v>
      </c>
    </row>
    <row r="1310" spans="2:11">
      <c r="B1310" s="11">
        <v>40359</v>
      </c>
      <c r="C1310" s="21" t="s">
        <v>332</v>
      </c>
      <c r="D1310" s="13" t="s">
        <v>331</v>
      </c>
      <c r="E1310" s="19" t="s">
        <v>102</v>
      </c>
      <c r="F1310" s="60">
        <v>2221</v>
      </c>
      <c r="G1310" s="32">
        <v>23200</v>
      </c>
      <c r="H1310" s="87">
        <v>40359</v>
      </c>
      <c r="I1310" s="90">
        <v>0</v>
      </c>
      <c r="J1310" s="90">
        <f t="shared" si="40"/>
        <v>23200</v>
      </c>
      <c r="K1310" s="90" t="str">
        <f t="shared" si="39"/>
        <v>ATRASADO</v>
      </c>
    </row>
    <row r="1311" spans="2:11">
      <c r="B1311" s="11">
        <v>40389</v>
      </c>
      <c r="C1311" s="21" t="s">
        <v>333</v>
      </c>
      <c r="D1311" s="13" t="s">
        <v>331</v>
      </c>
      <c r="E1311" s="19" t="s">
        <v>102</v>
      </c>
      <c r="F1311" s="60">
        <v>2221</v>
      </c>
      <c r="G1311" s="32">
        <v>23200</v>
      </c>
      <c r="H1311" s="87">
        <v>40389</v>
      </c>
      <c r="I1311" s="90">
        <v>0</v>
      </c>
      <c r="J1311" s="90">
        <f t="shared" si="40"/>
        <v>23200</v>
      </c>
      <c r="K1311" s="90" t="str">
        <f t="shared" si="39"/>
        <v>ATRASADO</v>
      </c>
    </row>
    <row r="1312" spans="2:11">
      <c r="B1312" s="11">
        <v>40420</v>
      </c>
      <c r="C1312" s="21" t="s">
        <v>334</v>
      </c>
      <c r="D1312" s="13" t="s">
        <v>331</v>
      </c>
      <c r="E1312" s="19" t="s">
        <v>102</v>
      </c>
      <c r="F1312" s="60">
        <v>2221</v>
      </c>
      <c r="G1312" s="32">
        <v>23200</v>
      </c>
      <c r="H1312" s="87">
        <v>40420</v>
      </c>
      <c r="I1312" s="90">
        <v>0</v>
      </c>
      <c r="J1312" s="90">
        <f t="shared" si="40"/>
        <v>23200</v>
      </c>
      <c r="K1312" s="90" t="str">
        <f t="shared" si="39"/>
        <v>ATRASADO</v>
      </c>
    </row>
    <row r="1313" spans="2:11">
      <c r="B1313" s="11">
        <v>40451</v>
      </c>
      <c r="C1313" s="21" t="s">
        <v>335</v>
      </c>
      <c r="D1313" s="13" t="s">
        <v>331</v>
      </c>
      <c r="E1313" s="19" t="s">
        <v>102</v>
      </c>
      <c r="F1313" s="60">
        <v>2221</v>
      </c>
      <c r="G1313" s="32">
        <v>23200</v>
      </c>
      <c r="H1313" s="87">
        <v>40451</v>
      </c>
      <c r="I1313" s="90">
        <v>0</v>
      </c>
      <c r="J1313" s="90">
        <f t="shared" si="40"/>
        <v>23200</v>
      </c>
      <c r="K1313" s="90" t="str">
        <f t="shared" si="39"/>
        <v>ATRASADO</v>
      </c>
    </row>
    <row r="1314" spans="2:11">
      <c r="B1314" s="11"/>
      <c r="C1314" s="21"/>
      <c r="D1314" s="13"/>
      <c r="E1314" s="19"/>
      <c r="F1314" s="60"/>
      <c r="G1314" s="32"/>
      <c r="H1314" s="87"/>
      <c r="I1314" s="90"/>
      <c r="J1314" s="90" t="str">
        <f t="shared" si="40"/>
        <v/>
      </c>
      <c r="K1314" s="90"/>
    </row>
    <row r="1315" spans="2:11">
      <c r="B1315" s="36">
        <v>40576</v>
      </c>
      <c r="C1315" s="35" t="s">
        <v>245</v>
      </c>
      <c r="D1315" s="13" t="s">
        <v>246</v>
      </c>
      <c r="E1315" s="19" t="s">
        <v>207</v>
      </c>
      <c r="F1315" s="60">
        <v>2311</v>
      </c>
      <c r="G1315" s="32">
        <v>379400.01</v>
      </c>
      <c r="H1315" s="210">
        <v>40576</v>
      </c>
      <c r="I1315" s="90">
        <v>0</v>
      </c>
      <c r="J1315" s="90">
        <f t="shared" si="40"/>
        <v>379400.01</v>
      </c>
      <c r="K1315" s="90" t="str">
        <f t="shared" si="39"/>
        <v>ATRASADO</v>
      </c>
    </row>
    <row r="1316" spans="2:11">
      <c r="B1316" s="36"/>
      <c r="C1316" s="35"/>
      <c r="D1316" s="13"/>
      <c r="E1316" s="19"/>
      <c r="F1316" s="60"/>
      <c r="G1316" s="32"/>
      <c r="H1316" s="210"/>
      <c r="I1316" s="90"/>
      <c r="J1316" s="90" t="str">
        <f t="shared" si="40"/>
        <v/>
      </c>
      <c r="K1316" s="90" t="str">
        <f t="shared" si="39"/>
        <v>ATRASADO</v>
      </c>
    </row>
    <row r="1317" spans="2:11">
      <c r="B1317" s="11">
        <v>40381</v>
      </c>
      <c r="C1317" s="21" t="s">
        <v>551</v>
      </c>
      <c r="D1317" s="13" t="s">
        <v>337</v>
      </c>
      <c r="E1317" s="19" t="s">
        <v>102</v>
      </c>
      <c r="F1317" s="60">
        <v>2221</v>
      </c>
      <c r="G1317" s="32">
        <v>46600</v>
      </c>
      <c r="H1317" s="87">
        <v>40381</v>
      </c>
      <c r="I1317" s="90">
        <v>0</v>
      </c>
      <c r="J1317" s="90">
        <f t="shared" si="40"/>
        <v>46600</v>
      </c>
      <c r="K1317" s="90" t="str">
        <f t="shared" si="39"/>
        <v>ATRASADO</v>
      </c>
    </row>
    <row r="1318" spans="2:11">
      <c r="B1318" s="11">
        <v>40381</v>
      </c>
      <c r="C1318" s="21" t="s">
        <v>336</v>
      </c>
      <c r="D1318" s="13" t="s">
        <v>337</v>
      </c>
      <c r="E1318" s="19" t="s">
        <v>102</v>
      </c>
      <c r="F1318" s="60">
        <v>2221</v>
      </c>
      <c r="G1318" s="32">
        <v>46600</v>
      </c>
      <c r="H1318" s="87">
        <v>40381</v>
      </c>
      <c r="I1318" s="90">
        <v>0</v>
      </c>
      <c r="J1318" s="90">
        <f t="shared" si="40"/>
        <v>46600</v>
      </c>
      <c r="K1318" s="90" t="str">
        <f t="shared" si="39"/>
        <v>ATRASADO</v>
      </c>
    </row>
    <row r="1319" spans="2:11">
      <c r="B1319" s="11">
        <v>40465</v>
      </c>
      <c r="C1319" s="21" t="s">
        <v>336</v>
      </c>
      <c r="D1319" s="13" t="s">
        <v>337</v>
      </c>
      <c r="E1319" s="19" t="s">
        <v>102</v>
      </c>
      <c r="F1319" s="60">
        <v>2221</v>
      </c>
      <c r="G1319" s="32">
        <v>139200</v>
      </c>
      <c r="H1319" s="87">
        <v>40465</v>
      </c>
      <c r="I1319" s="90">
        <v>0</v>
      </c>
      <c r="J1319" s="90">
        <f t="shared" si="40"/>
        <v>139200</v>
      </c>
      <c r="K1319" s="90" t="str">
        <f t="shared" si="39"/>
        <v>ATRASADO</v>
      </c>
    </row>
    <row r="1320" spans="2:11">
      <c r="B1320" s="11"/>
      <c r="C1320" s="21"/>
      <c r="D1320" s="13"/>
      <c r="E1320" s="19"/>
      <c r="F1320" s="60"/>
      <c r="G1320" s="32"/>
      <c r="H1320" s="87"/>
      <c r="I1320" s="90"/>
      <c r="J1320" s="90" t="str">
        <f t="shared" si="40"/>
        <v/>
      </c>
      <c r="K1320" s="90"/>
    </row>
    <row r="1321" spans="2:11">
      <c r="B1321" s="36">
        <v>40671</v>
      </c>
      <c r="C1321" s="35" t="s">
        <v>424</v>
      </c>
      <c r="D1321" s="13" t="s">
        <v>425</v>
      </c>
      <c r="E1321" s="19" t="s">
        <v>426</v>
      </c>
      <c r="F1321" s="60">
        <v>2341</v>
      </c>
      <c r="G1321" s="32">
        <v>52896</v>
      </c>
      <c r="H1321" s="210">
        <v>40671</v>
      </c>
      <c r="I1321" s="90">
        <v>0</v>
      </c>
      <c r="J1321" s="90">
        <f t="shared" si="40"/>
        <v>52896</v>
      </c>
      <c r="K1321" s="90" t="str">
        <f t="shared" si="39"/>
        <v>ATRASADO</v>
      </c>
    </row>
    <row r="1322" spans="2:11">
      <c r="B1322" s="36"/>
      <c r="C1322" s="35"/>
      <c r="D1322" s="13"/>
      <c r="E1322" s="19"/>
      <c r="F1322" s="60"/>
      <c r="G1322" s="32"/>
      <c r="H1322" s="210"/>
      <c r="I1322" s="90"/>
      <c r="J1322" s="90" t="str">
        <f t="shared" si="40"/>
        <v/>
      </c>
      <c r="K1322" s="90"/>
    </row>
    <row r="1323" spans="2:11">
      <c r="B1323" s="36">
        <v>40584</v>
      </c>
      <c r="C1323" s="36" t="s">
        <v>546</v>
      </c>
      <c r="D1323" s="13" t="s">
        <v>549</v>
      </c>
      <c r="E1323" s="19" t="s">
        <v>21</v>
      </c>
      <c r="F1323" s="60">
        <v>2251</v>
      </c>
      <c r="G1323" s="32">
        <v>15030</v>
      </c>
      <c r="H1323" s="210">
        <v>40584</v>
      </c>
      <c r="I1323" s="90">
        <v>0</v>
      </c>
      <c r="J1323" s="90">
        <f t="shared" si="40"/>
        <v>15030</v>
      </c>
      <c r="K1323" s="90" t="str">
        <f t="shared" ref="K1323:K1386" si="41">IF(J1323&gt;0,"ATRASADO","")</f>
        <v>ATRASADO</v>
      </c>
    </row>
    <row r="1324" spans="2:11">
      <c r="B1324" s="36">
        <v>40584</v>
      </c>
      <c r="C1324" s="36" t="s">
        <v>547</v>
      </c>
      <c r="D1324" s="13" t="s">
        <v>549</v>
      </c>
      <c r="E1324" s="19" t="s">
        <v>21</v>
      </c>
      <c r="F1324" s="60">
        <v>2251</v>
      </c>
      <c r="G1324" s="32">
        <v>15030</v>
      </c>
      <c r="H1324" s="210">
        <v>40584</v>
      </c>
      <c r="I1324" s="90">
        <v>0</v>
      </c>
      <c r="J1324" s="90">
        <f t="shared" si="40"/>
        <v>15030</v>
      </c>
      <c r="K1324" s="90" t="str">
        <f t="shared" si="41"/>
        <v>ATRASADO</v>
      </c>
    </row>
    <row r="1325" spans="2:11">
      <c r="B1325" s="36">
        <v>40584</v>
      </c>
      <c r="C1325" s="36" t="s">
        <v>548</v>
      </c>
      <c r="D1325" s="13" t="s">
        <v>549</v>
      </c>
      <c r="E1325" s="19" t="s">
        <v>21</v>
      </c>
      <c r="F1325" s="60">
        <v>2251</v>
      </c>
      <c r="G1325" s="32">
        <v>15030</v>
      </c>
      <c r="H1325" s="210">
        <v>40584</v>
      </c>
      <c r="I1325" s="90">
        <v>0</v>
      </c>
      <c r="J1325" s="90">
        <f t="shared" si="40"/>
        <v>15030</v>
      </c>
      <c r="K1325" s="90" t="str">
        <f t="shared" si="41"/>
        <v>ATRASADO</v>
      </c>
    </row>
    <row r="1326" spans="2:11">
      <c r="B1326" s="36"/>
      <c r="C1326" s="36"/>
      <c r="D1326" s="13"/>
      <c r="E1326" s="19"/>
      <c r="F1326" s="60"/>
      <c r="G1326" s="32"/>
      <c r="H1326" s="210"/>
      <c r="I1326" s="90"/>
      <c r="J1326" s="90" t="str">
        <f t="shared" si="40"/>
        <v/>
      </c>
      <c r="K1326" s="90"/>
    </row>
    <row r="1327" spans="2:11">
      <c r="B1327" s="36">
        <v>41061</v>
      </c>
      <c r="C1327" s="35" t="s">
        <v>564</v>
      </c>
      <c r="D1327" s="13" t="s">
        <v>565</v>
      </c>
      <c r="E1327" s="19" t="s">
        <v>134</v>
      </c>
      <c r="F1327" s="60">
        <v>2287</v>
      </c>
      <c r="G1327" s="32">
        <v>20880</v>
      </c>
      <c r="H1327" s="210">
        <v>41061</v>
      </c>
      <c r="I1327" s="90">
        <v>0</v>
      </c>
      <c r="J1327" s="90">
        <f t="shared" si="40"/>
        <v>20880</v>
      </c>
      <c r="K1327" s="90" t="str">
        <f t="shared" si="41"/>
        <v>ATRASADO</v>
      </c>
    </row>
    <row r="1328" spans="2:11">
      <c r="B1328" s="36"/>
      <c r="C1328" s="35"/>
      <c r="D1328" s="13"/>
      <c r="E1328" s="19"/>
      <c r="F1328" s="60"/>
      <c r="G1328" s="32"/>
      <c r="H1328" s="210"/>
      <c r="I1328" s="90"/>
      <c r="J1328" s="90" t="str">
        <f t="shared" si="40"/>
        <v/>
      </c>
      <c r="K1328" s="90"/>
    </row>
    <row r="1329" spans="2:11">
      <c r="B1329" s="11">
        <v>39997</v>
      </c>
      <c r="C1329" s="11" t="s">
        <v>247</v>
      </c>
      <c r="D1329" s="13" t="s">
        <v>248</v>
      </c>
      <c r="E1329" s="19" t="s">
        <v>207</v>
      </c>
      <c r="F1329" s="60">
        <v>2311</v>
      </c>
      <c r="G1329" s="32">
        <v>835488</v>
      </c>
      <c r="H1329" s="87">
        <v>39997</v>
      </c>
      <c r="I1329" s="90">
        <v>0</v>
      </c>
      <c r="J1329" s="90">
        <f t="shared" si="40"/>
        <v>835488</v>
      </c>
      <c r="K1329" s="90" t="str">
        <f t="shared" si="41"/>
        <v>ATRASADO</v>
      </c>
    </row>
    <row r="1330" spans="2:11">
      <c r="B1330" s="10"/>
      <c r="C1330" s="35"/>
      <c r="D1330" s="13"/>
      <c r="E1330" s="19"/>
      <c r="F1330" s="60"/>
      <c r="G1330" s="32"/>
      <c r="H1330" s="208"/>
      <c r="I1330" s="90"/>
      <c r="J1330" s="90" t="str">
        <f t="shared" si="40"/>
        <v/>
      </c>
      <c r="K1330" s="90"/>
    </row>
    <row r="1331" spans="2:11">
      <c r="B1331" s="11">
        <v>40323</v>
      </c>
      <c r="C1331" s="21" t="s">
        <v>338</v>
      </c>
      <c r="D1331" s="13" t="s">
        <v>339</v>
      </c>
      <c r="E1331" s="19" t="s">
        <v>340</v>
      </c>
      <c r="F1331" s="60">
        <v>2272</v>
      </c>
      <c r="G1331" s="32">
        <v>124932</v>
      </c>
      <c r="H1331" s="87">
        <v>40323</v>
      </c>
      <c r="I1331" s="90">
        <v>0</v>
      </c>
      <c r="J1331" s="90">
        <f t="shared" si="40"/>
        <v>124932</v>
      </c>
      <c r="K1331" s="90" t="str">
        <f t="shared" si="41"/>
        <v>ATRASADO</v>
      </c>
    </row>
    <row r="1332" spans="2:11">
      <c r="B1332" s="11"/>
      <c r="C1332" s="21"/>
      <c r="D1332" s="13"/>
      <c r="E1332" s="19"/>
      <c r="F1332" s="60"/>
      <c r="G1332" s="32"/>
      <c r="H1332" s="87"/>
      <c r="I1332" s="90"/>
      <c r="J1332" s="90" t="str">
        <f t="shared" si="40"/>
        <v/>
      </c>
      <c r="K1332" s="90"/>
    </row>
    <row r="1333" spans="2:11">
      <c r="B1333" s="11">
        <v>40148</v>
      </c>
      <c r="C1333" s="21" t="s">
        <v>342</v>
      </c>
      <c r="D1333" s="13" t="s">
        <v>341</v>
      </c>
      <c r="E1333" s="19" t="s">
        <v>120</v>
      </c>
      <c r="F1333" s="60">
        <v>2355</v>
      </c>
      <c r="G1333" s="32">
        <v>87193.600000000006</v>
      </c>
      <c r="H1333" s="87">
        <v>40148</v>
      </c>
      <c r="I1333" s="90">
        <v>0</v>
      </c>
      <c r="J1333" s="90">
        <f t="shared" si="40"/>
        <v>87193.600000000006</v>
      </c>
      <c r="K1333" s="90" t="str">
        <f t="shared" si="41"/>
        <v>ATRASADO</v>
      </c>
    </row>
    <row r="1334" spans="2:11">
      <c r="B1334" s="11">
        <v>40154</v>
      </c>
      <c r="C1334" s="21" t="s">
        <v>343</v>
      </c>
      <c r="D1334" s="13" t="s">
        <v>341</v>
      </c>
      <c r="E1334" s="19" t="s">
        <v>120</v>
      </c>
      <c r="F1334" s="60">
        <v>2355</v>
      </c>
      <c r="G1334" s="32">
        <v>16008</v>
      </c>
      <c r="H1334" s="87">
        <v>40154</v>
      </c>
      <c r="I1334" s="90">
        <v>0</v>
      </c>
      <c r="J1334" s="90">
        <f t="shared" si="40"/>
        <v>16008</v>
      </c>
      <c r="K1334" s="90" t="str">
        <f t="shared" si="41"/>
        <v>ATRASADO</v>
      </c>
    </row>
    <row r="1335" spans="2:11">
      <c r="B1335" s="11">
        <v>40154</v>
      </c>
      <c r="C1335" s="21" t="s">
        <v>344</v>
      </c>
      <c r="D1335" s="13" t="s">
        <v>341</v>
      </c>
      <c r="E1335" s="19" t="s">
        <v>120</v>
      </c>
      <c r="F1335" s="60">
        <v>2355</v>
      </c>
      <c r="G1335" s="32">
        <v>162400</v>
      </c>
      <c r="H1335" s="87">
        <v>40154</v>
      </c>
      <c r="I1335" s="90">
        <v>0</v>
      </c>
      <c r="J1335" s="90">
        <f t="shared" si="40"/>
        <v>162400</v>
      </c>
      <c r="K1335" s="90" t="str">
        <f t="shared" si="41"/>
        <v>ATRASADO</v>
      </c>
    </row>
    <row r="1336" spans="2:11">
      <c r="B1336" s="11">
        <v>40219</v>
      </c>
      <c r="C1336" s="21" t="s">
        <v>345</v>
      </c>
      <c r="D1336" s="13" t="s">
        <v>341</v>
      </c>
      <c r="E1336" s="19" t="s">
        <v>120</v>
      </c>
      <c r="F1336" s="60">
        <v>2355</v>
      </c>
      <c r="G1336" s="32">
        <v>45448.800000000003</v>
      </c>
      <c r="H1336" s="87">
        <v>40219</v>
      </c>
      <c r="I1336" s="90">
        <v>0</v>
      </c>
      <c r="J1336" s="90">
        <f t="shared" si="40"/>
        <v>45448.800000000003</v>
      </c>
      <c r="K1336" s="90" t="str">
        <f t="shared" si="41"/>
        <v>ATRASADO</v>
      </c>
    </row>
    <row r="1337" spans="2:11">
      <c r="B1337" s="11">
        <v>40224</v>
      </c>
      <c r="C1337" s="21" t="s">
        <v>346</v>
      </c>
      <c r="D1337" s="13" t="s">
        <v>341</v>
      </c>
      <c r="E1337" s="19" t="s">
        <v>120</v>
      </c>
      <c r="F1337" s="60">
        <v>2355</v>
      </c>
      <c r="G1337" s="32">
        <v>40368</v>
      </c>
      <c r="H1337" s="87">
        <v>40224</v>
      </c>
      <c r="I1337" s="90">
        <v>0</v>
      </c>
      <c r="J1337" s="90">
        <f t="shared" si="40"/>
        <v>40368</v>
      </c>
      <c r="K1337" s="90" t="str">
        <f t="shared" si="41"/>
        <v>ATRASADO</v>
      </c>
    </row>
    <row r="1338" spans="2:11">
      <c r="B1338" s="11">
        <v>40249</v>
      </c>
      <c r="C1338" s="21" t="s">
        <v>347</v>
      </c>
      <c r="D1338" s="13" t="s">
        <v>341</v>
      </c>
      <c r="E1338" s="19" t="s">
        <v>120</v>
      </c>
      <c r="F1338" s="60">
        <v>2355</v>
      </c>
      <c r="G1338" s="32">
        <v>162400</v>
      </c>
      <c r="H1338" s="87">
        <v>40249</v>
      </c>
      <c r="I1338" s="90">
        <v>0</v>
      </c>
      <c r="J1338" s="90">
        <f t="shared" si="40"/>
        <v>162400</v>
      </c>
      <c r="K1338" s="90" t="str">
        <f t="shared" si="41"/>
        <v>ATRASADO</v>
      </c>
    </row>
    <row r="1339" spans="2:11">
      <c r="B1339" s="11"/>
      <c r="C1339" s="21"/>
      <c r="D1339" s="13"/>
      <c r="E1339" s="19"/>
      <c r="F1339" s="60"/>
      <c r="G1339" s="32"/>
      <c r="H1339" s="87"/>
      <c r="I1339" s="90"/>
      <c r="J1339" s="90" t="str">
        <f t="shared" si="40"/>
        <v/>
      </c>
      <c r="K1339" s="90"/>
    </row>
    <row r="1340" spans="2:11">
      <c r="B1340" s="11">
        <v>44287</v>
      </c>
      <c r="C1340" s="21" t="s">
        <v>910</v>
      </c>
      <c r="D1340" s="13" t="s">
        <v>1570</v>
      </c>
      <c r="E1340" s="19" t="s">
        <v>102</v>
      </c>
      <c r="F1340" s="60">
        <v>2221</v>
      </c>
      <c r="G1340" s="32">
        <v>35400</v>
      </c>
      <c r="H1340" s="87">
        <v>44287</v>
      </c>
      <c r="I1340" s="90">
        <v>0</v>
      </c>
      <c r="J1340" s="90">
        <f t="shared" si="40"/>
        <v>35400</v>
      </c>
      <c r="K1340" s="90" t="str">
        <f t="shared" si="41"/>
        <v>ATRASADO</v>
      </c>
    </row>
    <row r="1341" spans="2:11">
      <c r="B1341" s="11">
        <v>44287</v>
      </c>
      <c r="C1341" s="21" t="s">
        <v>911</v>
      </c>
      <c r="D1341" s="13" t="s">
        <v>1570</v>
      </c>
      <c r="E1341" s="19" t="s">
        <v>102</v>
      </c>
      <c r="F1341" s="60">
        <v>2221</v>
      </c>
      <c r="G1341" s="32">
        <v>35400</v>
      </c>
      <c r="H1341" s="87">
        <v>44287</v>
      </c>
      <c r="I1341" s="90">
        <v>0</v>
      </c>
      <c r="J1341" s="90">
        <f t="shared" si="40"/>
        <v>35400</v>
      </c>
      <c r="K1341" s="90" t="str">
        <f t="shared" si="41"/>
        <v>ATRASADO</v>
      </c>
    </row>
    <row r="1342" spans="2:11">
      <c r="B1342" s="11" t="s">
        <v>1571</v>
      </c>
      <c r="C1342" s="21" t="s">
        <v>902</v>
      </c>
      <c r="D1342" s="13" t="s">
        <v>1570</v>
      </c>
      <c r="E1342" s="19" t="s">
        <v>102</v>
      </c>
      <c r="F1342" s="60">
        <v>2221</v>
      </c>
      <c r="G1342" s="32">
        <v>35400</v>
      </c>
      <c r="H1342" s="87" t="s">
        <v>1571</v>
      </c>
      <c r="I1342" s="90">
        <v>0</v>
      </c>
      <c r="J1342" s="90">
        <f t="shared" si="40"/>
        <v>35400</v>
      </c>
      <c r="K1342" s="90" t="str">
        <f t="shared" si="41"/>
        <v>ATRASADO</v>
      </c>
    </row>
    <row r="1343" spans="2:11">
      <c r="B1343" s="11"/>
      <c r="C1343" s="21"/>
      <c r="D1343" s="13"/>
      <c r="E1343" s="19"/>
      <c r="F1343" s="60"/>
      <c r="G1343" s="32"/>
      <c r="H1343" s="87"/>
      <c r="I1343" s="90"/>
      <c r="J1343" s="90" t="str">
        <f t="shared" si="40"/>
        <v/>
      </c>
      <c r="K1343" s="90"/>
    </row>
    <row r="1344" spans="2:11">
      <c r="B1344" s="36">
        <v>40245</v>
      </c>
      <c r="C1344" s="35" t="s">
        <v>554</v>
      </c>
      <c r="D1344" s="13" t="s">
        <v>555</v>
      </c>
      <c r="E1344" s="19" t="s">
        <v>556</v>
      </c>
      <c r="F1344" s="60">
        <v>2611</v>
      </c>
      <c r="G1344" s="32">
        <v>33872</v>
      </c>
      <c r="H1344" s="210">
        <v>40261</v>
      </c>
      <c r="I1344" s="90">
        <v>0</v>
      </c>
      <c r="J1344" s="90">
        <f t="shared" si="40"/>
        <v>33872</v>
      </c>
      <c r="K1344" s="90" t="str">
        <f t="shared" si="41"/>
        <v>ATRASADO</v>
      </c>
    </row>
    <row r="1345" spans="2:11">
      <c r="B1345" s="36"/>
      <c r="C1345" s="35"/>
      <c r="D1345" s="13"/>
      <c r="E1345" s="19"/>
      <c r="F1345" s="60"/>
      <c r="G1345" s="32"/>
      <c r="H1345" s="210"/>
      <c r="I1345" s="90"/>
      <c r="J1345" s="90" t="str">
        <f t="shared" si="40"/>
        <v/>
      </c>
      <c r="K1345" s="90"/>
    </row>
    <row r="1346" spans="2:11">
      <c r="B1346" s="11">
        <v>40273</v>
      </c>
      <c r="C1346" s="18" t="s">
        <v>348</v>
      </c>
      <c r="D1346" s="13" t="s">
        <v>349</v>
      </c>
      <c r="E1346" s="19" t="s">
        <v>350</v>
      </c>
      <c r="F1346" s="60">
        <v>2262</v>
      </c>
      <c r="G1346" s="32">
        <v>719347.47</v>
      </c>
      <c r="H1346" s="87">
        <v>40273</v>
      </c>
      <c r="I1346" s="90">
        <v>0</v>
      </c>
      <c r="J1346" s="90">
        <f t="shared" si="40"/>
        <v>719347.47</v>
      </c>
      <c r="K1346" s="90" t="str">
        <f t="shared" si="41"/>
        <v>ATRASADO</v>
      </c>
    </row>
    <row r="1347" spans="2:11">
      <c r="B1347" s="11">
        <v>40358</v>
      </c>
      <c r="C1347" s="18" t="s">
        <v>351</v>
      </c>
      <c r="D1347" s="13" t="s">
        <v>349</v>
      </c>
      <c r="E1347" s="19" t="s">
        <v>350</v>
      </c>
      <c r="F1347" s="60">
        <v>2262</v>
      </c>
      <c r="G1347" s="32">
        <v>229093.72</v>
      </c>
      <c r="H1347" s="87">
        <v>40358</v>
      </c>
      <c r="I1347" s="90">
        <v>0</v>
      </c>
      <c r="J1347" s="90">
        <f t="shared" si="40"/>
        <v>229093.72</v>
      </c>
      <c r="K1347" s="90" t="str">
        <f t="shared" si="41"/>
        <v>ATRASADO</v>
      </c>
    </row>
    <row r="1348" spans="2:11">
      <c r="B1348" s="11"/>
      <c r="C1348" s="18"/>
      <c r="D1348" s="13"/>
      <c r="E1348" s="19"/>
      <c r="F1348" s="60"/>
      <c r="G1348" s="32"/>
      <c r="H1348" s="87"/>
      <c r="I1348" s="90"/>
      <c r="J1348" s="90" t="str">
        <f t="shared" si="40"/>
        <v/>
      </c>
      <c r="K1348" s="90"/>
    </row>
    <row r="1349" spans="2:11">
      <c r="B1349" s="36">
        <v>40231</v>
      </c>
      <c r="C1349" s="35" t="s">
        <v>333</v>
      </c>
      <c r="D1349" s="13" t="s">
        <v>525</v>
      </c>
      <c r="E1349" s="19" t="s">
        <v>528</v>
      </c>
      <c r="F1349" s="60">
        <v>2287</v>
      </c>
      <c r="G1349" s="32">
        <v>17928.900000000001</v>
      </c>
      <c r="H1349" s="210">
        <v>40231</v>
      </c>
      <c r="I1349" s="90">
        <v>0</v>
      </c>
      <c r="J1349" s="90">
        <f t="shared" si="40"/>
        <v>17928.900000000001</v>
      </c>
      <c r="K1349" s="90" t="str">
        <f t="shared" si="41"/>
        <v>ATRASADO</v>
      </c>
    </row>
    <row r="1350" spans="2:11">
      <c r="B1350" s="36">
        <v>40261</v>
      </c>
      <c r="C1350" s="35" t="s">
        <v>334</v>
      </c>
      <c r="D1350" s="13" t="s">
        <v>525</v>
      </c>
      <c r="E1350" s="19" t="s">
        <v>528</v>
      </c>
      <c r="F1350" s="60">
        <v>2287</v>
      </c>
      <c r="G1350" s="32">
        <v>19849.900000000001</v>
      </c>
      <c r="H1350" s="210">
        <v>40261</v>
      </c>
      <c r="I1350" s="90">
        <v>0</v>
      </c>
      <c r="J1350" s="90">
        <f t="shared" si="40"/>
        <v>19849.900000000001</v>
      </c>
      <c r="K1350" s="90" t="str">
        <f t="shared" si="41"/>
        <v>ATRASADO</v>
      </c>
    </row>
    <row r="1351" spans="2:11">
      <c r="B1351" s="36">
        <v>40291</v>
      </c>
      <c r="C1351" s="35" t="s">
        <v>335</v>
      </c>
      <c r="D1351" s="13" t="s">
        <v>525</v>
      </c>
      <c r="E1351" s="19" t="s">
        <v>528</v>
      </c>
      <c r="F1351" s="60">
        <v>2287</v>
      </c>
      <c r="G1351" s="32">
        <v>19209.599999999999</v>
      </c>
      <c r="H1351" s="210">
        <v>40291</v>
      </c>
      <c r="I1351" s="90">
        <v>0</v>
      </c>
      <c r="J1351" s="90">
        <f t="shared" si="40"/>
        <v>19209.599999999999</v>
      </c>
      <c r="K1351" s="90" t="str">
        <f t="shared" si="41"/>
        <v>ATRASADO</v>
      </c>
    </row>
    <row r="1352" spans="2:11">
      <c r="B1352" s="36">
        <v>40322</v>
      </c>
      <c r="C1352" s="35" t="s">
        <v>526</v>
      </c>
      <c r="D1352" s="13" t="s">
        <v>525</v>
      </c>
      <c r="E1352" s="19" t="s">
        <v>528</v>
      </c>
      <c r="F1352" s="60">
        <v>2287</v>
      </c>
      <c r="G1352" s="32">
        <v>19849.919999999998</v>
      </c>
      <c r="H1352" s="210">
        <v>40322</v>
      </c>
      <c r="I1352" s="90">
        <v>0</v>
      </c>
      <c r="J1352" s="90">
        <f t="shared" si="40"/>
        <v>19849.919999999998</v>
      </c>
      <c r="K1352" s="90" t="str">
        <f t="shared" si="41"/>
        <v>ATRASADO</v>
      </c>
    </row>
    <row r="1353" spans="2:11">
      <c r="B1353" s="36">
        <v>40353</v>
      </c>
      <c r="C1353" s="35" t="s">
        <v>527</v>
      </c>
      <c r="D1353" s="13" t="s">
        <v>525</v>
      </c>
      <c r="E1353" s="19" t="s">
        <v>528</v>
      </c>
      <c r="F1353" s="60">
        <v>2287</v>
      </c>
      <c r="G1353" s="32">
        <v>19209.599999999999</v>
      </c>
      <c r="H1353" s="210">
        <v>40353</v>
      </c>
      <c r="I1353" s="90">
        <v>0</v>
      </c>
      <c r="J1353" s="90">
        <f t="shared" si="40"/>
        <v>19209.599999999999</v>
      </c>
      <c r="K1353" s="90" t="str">
        <f t="shared" si="41"/>
        <v>ATRASADO</v>
      </c>
    </row>
    <row r="1354" spans="2:11">
      <c r="B1354" s="36"/>
      <c r="C1354" s="35"/>
      <c r="D1354" s="13"/>
      <c r="E1354" s="19"/>
      <c r="F1354" s="60"/>
      <c r="G1354" s="32"/>
      <c r="H1354" s="210"/>
      <c r="I1354" s="90"/>
      <c r="J1354" s="90" t="str">
        <f t="shared" si="40"/>
        <v/>
      </c>
      <c r="K1354" s="90"/>
    </row>
    <row r="1355" spans="2:11">
      <c r="B1355" s="11">
        <v>40298</v>
      </c>
      <c r="C1355" s="21" t="s">
        <v>352</v>
      </c>
      <c r="D1355" s="13" t="s">
        <v>353</v>
      </c>
      <c r="E1355" s="19" t="s">
        <v>340</v>
      </c>
      <c r="F1355" s="60">
        <v>2272</v>
      </c>
      <c r="G1355" s="32">
        <v>22457.599999999999</v>
      </c>
      <c r="H1355" s="87">
        <v>40298</v>
      </c>
      <c r="I1355" s="90">
        <v>0</v>
      </c>
      <c r="J1355" s="90">
        <f t="shared" si="40"/>
        <v>22457.599999999999</v>
      </c>
      <c r="K1355" s="90" t="str">
        <f t="shared" si="41"/>
        <v>ATRASADO</v>
      </c>
    </row>
    <row r="1356" spans="2:11">
      <c r="B1356" s="11">
        <v>40318</v>
      </c>
      <c r="C1356" s="21" t="s">
        <v>354</v>
      </c>
      <c r="D1356" s="13" t="s">
        <v>353</v>
      </c>
      <c r="E1356" s="19" t="s">
        <v>340</v>
      </c>
      <c r="F1356" s="60">
        <v>2272</v>
      </c>
      <c r="G1356" s="32">
        <v>152656</v>
      </c>
      <c r="H1356" s="87">
        <v>40318</v>
      </c>
      <c r="I1356" s="90">
        <v>0</v>
      </c>
      <c r="J1356" s="90">
        <f t="shared" si="40"/>
        <v>152656</v>
      </c>
      <c r="K1356" s="90" t="str">
        <f t="shared" si="41"/>
        <v>ATRASADO</v>
      </c>
    </row>
    <row r="1357" spans="2:11">
      <c r="B1357" s="11"/>
      <c r="C1357" s="21"/>
      <c r="D1357" s="13"/>
      <c r="E1357" s="19"/>
      <c r="F1357" s="60"/>
      <c r="G1357" s="32"/>
      <c r="H1357" s="87"/>
      <c r="I1357" s="90"/>
      <c r="J1357" s="90" t="str">
        <f t="shared" si="40"/>
        <v/>
      </c>
      <c r="K1357" s="90"/>
    </row>
    <row r="1358" spans="2:11">
      <c r="B1358" s="36">
        <v>40792</v>
      </c>
      <c r="C1358" s="35" t="s">
        <v>503</v>
      </c>
      <c r="D1358" s="13" t="s">
        <v>502</v>
      </c>
      <c r="E1358" s="19" t="s">
        <v>28</v>
      </c>
      <c r="F1358" s="60">
        <v>2254</v>
      </c>
      <c r="G1358" s="32">
        <v>335000</v>
      </c>
      <c r="H1358" s="210">
        <v>40792</v>
      </c>
      <c r="I1358" s="90">
        <v>0</v>
      </c>
      <c r="J1358" s="90">
        <f t="shared" si="40"/>
        <v>335000</v>
      </c>
      <c r="K1358" s="90" t="str">
        <f t="shared" si="41"/>
        <v>ATRASADO</v>
      </c>
    </row>
    <row r="1359" spans="2:11">
      <c r="B1359" s="36">
        <v>40792</v>
      </c>
      <c r="C1359" s="35" t="s">
        <v>427</v>
      </c>
      <c r="D1359" s="13" t="s">
        <v>502</v>
      </c>
      <c r="E1359" s="19" t="s">
        <v>28</v>
      </c>
      <c r="F1359" s="60">
        <v>2254</v>
      </c>
      <c r="G1359" s="32">
        <v>335000</v>
      </c>
      <c r="H1359" s="210">
        <v>40792</v>
      </c>
      <c r="I1359" s="90">
        <v>0</v>
      </c>
      <c r="J1359" s="90">
        <f t="shared" si="40"/>
        <v>335000</v>
      </c>
      <c r="K1359" s="90" t="str">
        <f t="shared" si="41"/>
        <v>ATRASADO</v>
      </c>
    </row>
    <row r="1360" spans="2:11">
      <c r="B1360" s="36"/>
      <c r="C1360" s="35"/>
      <c r="D1360" s="13"/>
      <c r="E1360" s="19"/>
      <c r="F1360" s="60"/>
      <c r="G1360" s="32"/>
      <c r="H1360" s="210"/>
      <c r="I1360" s="90"/>
      <c r="J1360" s="90" t="str">
        <f t="shared" ref="J1360:J1411" si="42">IF(G1360&gt;0,G1360,"")</f>
        <v/>
      </c>
      <c r="K1360" s="90"/>
    </row>
    <row r="1361" spans="2:11">
      <c r="B1361" s="36">
        <v>40233</v>
      </c>
      <c r="C1361" s="35" t="s">
        <v>533</v>
      </c>
      <c r="D1361" s="13" t="s">
        <v>534</v>
      </c>
      <c r="E1361" s="19" t="s">
        <v>159</v>
      </c>
      <c r="F1361" s="60">
        <v>2611</v>
      </c>
      <c r="G1361" s="32">
        <v>61998.98</v>
      </c>
      <c r="H1361" s="210">
        <v>40233</v>
      </c>
      <c r="I1361" s="90">
        <v>0</v>
      </c>
      <c r="J1361" s="90">
        <f t="shared" si="42"/>
        <v>61998.98</v>
      </c>
      <c r="K1361" s="90" t="str">
        <f t="shared" si="41"/>
        <v>ATRASADO</v>
      </c>
    </row>
    <row r="1362" spans="2:11">
      <c r="B1362" s="11"/>
      <c r="C1362" s="41"/>
      <c r="D1362" s="13"/>
      <c r="E1362" s="19"/>
      <c r="F1362" s="60"/>
      <c r="G1362" s="32"/>
      <c r="H1362" s="87"/>
      <c r="I1362" s="90"/>
      <c r="J1362" s="90" t="str">
        <f t="shared" si="42"/>
        <v/>
      </c>
      <c r="K1362" s="90"/>
    </row>
    <row r="1363" spans="2:11">
      <c r="B1363" s="11">
        <v>42117</v>
      </c>
      <c r="C1363" s="41">
        <v>1500000158</v>
      </c>
      <c r="D1363" s="13" t="s">
        <v>552</v>
      </c>
      <c r="E1363" s="19" t="s">
        <v>553</v>
      </c>
      <c r="F1363" s="60">
        <v>2286</v>
      </c>
      <c r="G1363" s="32">
        <v>41536</v>
      </c>
      <c r="H1363" s="87">
        <v>42117</v>
      </c>
      <c r="I1363" s="90">
        <v>0</v>
      </c>
      <c r="J1363" s="90">
        <f t="shared" si="42"/>
        <v>41536</v>
      </c>
      <c r="K1363" s="90" t="str">
        <f t="shared" si="41"/>
        <v>ATRASADO</v>
      </c>
    </row>
    <row r="1364" spans="2:11">
      <c r="B1364" s="29"/>
      <c r="C1364" s="35"/>
      <c r="D1364" s="13"/>
      <c r="E1364" s="19"/>
      <c r="F1364" s="60"/>
      <c r="G1364" s="32"/>
      <c r="H1364" s="212"/>
      <c r="I1364" s="90"/>
      <c r="J1364" s="90" t="str">
        <f t="shared" si="42"/>
        <v/>
      </c>
      <c r="K1364" s="90"/>
    </row>
    <row r="1365" spans="2:11">
      <c r="B1365" s="11">
        <v>40088</v>
      </c>
      <c r="C1365" s="21" t="s">
        <v>355</v>
      </c>
      <c r="D1365" s="13" t="s">
        <v>356</v>
      </c>
      <c r="E1365" s="19" t="s">
        <v>102</v>
      </c>
      <c r="F1365" s="60">
        <v>2221</v>
      </c>
      <c r="G1365" s="32">
        <v>30000</v>
      </c>
      <c r="H1365" s="87">
        <v>40088</v>
      </c>
      <c r="I1365" s="90">
        <v>0</v>
      </c>
      <c r="J1365" s="90">
        <f t="shared" si="42"/>
        <v>30000</v>
      </c>
      <c r="K1365" s="90" t="str">
        <f t="shared" si="41"/>
        <v>ATRASADO</v>
      </c>
    </row>
    <row r="1366" spans="2:11">
      <c r="B1366" s="11">
        <v>40088</v>
      </c>
      <c r="C1366" s="21" t="s">
        <v>357</v>
      </c>
      <c r="D1366" s="13" t="s">
        <v>356</v>
      </c>
      <c r="E1366" s="19" t="s">
        <v>102</v>
      </c>
      <c r="F1366" s="60">
        <v>2221</v>
      </c>
      <c r="G1366" s="32">
        <v>30000</v>
      </c>
      <c r="H1366" s="87">
        <v>40088</v>
      </c>
      <c r="I1366" s="90">
        <v>0</v>
      </c>
      <c r="J1366" s="90">
        <f t="shared" si="42"/>
        <v>30000</v>
      </c>
      <c r="K1366" s="90" t="str">
        <f t="shared" si="41"/>
        <v>ATRASADO</v>
      </c>
    </row>
    <row r="1367" spans="2:11">
      <c r="B1367" s="11">
        <v>40121</v>
      </c>
      <c r="C1367" s="21" t="s">
        <v>358</v>
      </c>
      <c r="D1367" s="13" t="s">
        <v>356</v>
      </c>
      <c r="E1367" s="19" t="s">
        <v>102</v>
      </c>
      <c r="F1367" s="60">
        <v>2221</v>
      </c>
      <c r="G1367" s="32">
        <v>30000</v>
      </c>
      <c r="H1367" s="87">
        <v>40121</v>
      </c>
      <c r="I1367" s="90">
        <v>0</v>
      </c>
      <c r="J1367" s="90">
        <f t="shared" si="42"/>
        <v>30000</v>
      </c>
      <c r="K1367" s="90" t="str">
        <f t="shared" si="41"/>
        <v>ATRASADO</v>
      </c>
    </row>
    <row r="1368" spans="2:11">
      <c r="B1368" s="11">
        <v>40134</v>
      </c>
      <c r="C1368" s="21" t="s">
        <v>359</v>
      </c>
      <c r="D1368" s="13" t="s">
        <v>356</v>
      </c>
      <c r="E1368" s="19" t="s">
        <v>102</v>
      </c>
      <c r="F1368" s="60">
        <v>2221</v>
      </c>
      <c r="G1368" s="32">
        <v>30000</v>
      </c>
      <c r="H1368" s="87">
        <v>40134</v>
      </c>
      <c r="I1368" s="90">
        <v>0</v>
      </c>
      <c r="J1368" s="90">
        <f t="shared" si="42"/>
        <v>30000</v>
      </c>
      <c r="K1368" s="90" t="str">
        <f t="shared" si="41"/>
        <v>ATRASADO</v>
      </c>
    </row>
    <row r="1369" spans="2:11">
      <c r="B1369" s="11">
        <v>40193</v>
      </c>
      <c r="C1369" s="21" t="s">
        <v>360</v>
      </c>
      <c r="D1369" s="13" t="s">
        <v>356</v>
      </c>
      <c r="E1369" s="19" t="s">
        <v>102</v>
      </c>
      <c r="F1369" s="60">
        <v>2221</v>
      </c>
      <c r="G1369" s="32">
        <v>30000</v>
      </c>
      <c r="H1369" s="87">
        <v>40193</v>
      </c>
      <c r="I1369" s="90">
        <v>0</v>
      </c>
      <c r="J1369" s="90">
        <f t="shared" si="42"/>
        <v>30000</v>
      </c>
      <c r="K1369" s="90" t="str">
        <f t="shared" si="41"/>
        <v>ATRASADO</v>
      </c>
    </row>
    <row r="1370" spans="2:11">
      <c r="B1370" s="11">
        <v>40214</v>
      </c>
      <c r="C1370" s="21" t="s">
        <v>361</v>
      </c>
      <c r="D1370" s="13" t="s">
        <v>356</v>
      </c>
      <c r="E1370" s="19" t="s">
        <v>102</v>
      </c>
      <c r="F1370" s="60">
        <v>2221</v>
      </c>
      <c r="G1370" s="32">
        <v>30000</v>
      </c>
      <c r="H1370" s="87">
        <v>40214</v>
      </c>
      <c r="I1370" s="90">
        <v>0</v>
      </c>
      <c r="J1370" s="90">
        <f t="shared" si="42"/>
        <v>30000</v>
      </c>
      <c r="K1370" s="90" t="str">
        <f t="shared" si="41"/>
        <v>ATRASADO</v>
      </c>
    </row>
    <row r="1371" spans="2:11">
      <c r="B1371" s="11">
        <v>40241</v>
      </c>
      <c r="C1371" s="21" t="s">
        <v>362</v>
      </c>
      <c r="D1371" s="13" t="s">
        <v>356</v>
      </c>
      <c r="E1371" s="19" t="s">
        <v>102</v>
      </c>
      <c r="F1371" s="60">
        <v>2221</v>
      </c>
      <c r="G1371" s="32">
        <v>30000</v>
      </c>
      <c r="H1371" s="87">
        <v>40241</v>
      </c>
      <c r="I1371" s="90">
        <v>0</v>
      </c>
      <c r="J1371" s="90">
        <f t="shared" si="42"/>
        <v>30000</v>
      </c>
      <c r="K1371" s="90" t="str">
        <f t="shared" si="41"/>
        <v>ATRASADO</v>
      </c>
    </row>
    <row r="1372" spans="2:11">
      <c r="B1372" s="11">
        <v>40277</v>
      </c>
      <c r="C1372" s="21" t="s">
        <v>363</v>
      </c>
      <c r="D1372" s="13" t="s">
        <v>356</v>
      </c>
      <c r="E1372" s="19" t="s">
        <v>102</v>
      </c>
      <c r="F1372" s="60">
        <v>2221</v>
      </c>
      <c r="G1372" s="32">
        <v>30000</v>
      </c>
      <c r="H1372" s="87">
        <v>40277</v>
      </c>
      <c r="I1372" s="90">
        <v>0</v>
      </c>
      <c r="J1372" s="90">
        <f t="shared" si="42"/>
        <v>30000</v>
      </c>
      <c r="K1372" s="90" t="str">
        <f t="shared" si="41"/>
        <v>ATRASADO</v>
      </c>
    </row>
    <row r="1373" spans="2:11">
      <c r="B1373" s="11">
        <v>40323</v>
      </c>
      <c r="C1373" s="21" t="s">
        <v>364</v>
      </c>
      <c r="D1373" s="13" t="s">
        <v>356</v>
      </c>
      <c r="E1373" s="19" t="s">
        <v>102</v>
      </c>
      <c r="F1373" s="60">
        <v>2221</v>
      </c>
      <c r="G1373" s="32">
        <v>30000</v>
      </c>
      <c r="H1373" s="87">
        <v>40323</v>
      </c>
      <c r="I1373" s="90">
        <v>0</v>
      </c>
      <c r="J1373" s="90">
        <f t="shared" si="42"/>
        <v>30000</v>
      </c>
      <c r="K1373" s="90" t="str">
        <f t="shared" si="41"/>
        <v>ATRASADO</v>
      </c>
    </row>
    <row r="1374" spans="2:11">
      <c r="B1374" s="11">
        <v>40351</v>
      </c>
      <c r="C1374" s="21" t="s">
        <v>365</v>
      </c>
      <c r="D1374" s="13" t="s">
        <v>356</v>
      </c>
      <c r="E1374" s="19" t="s">
        <v>102</v>
      </c>
      <c r="F1374" s="60">
        <v>2221</v>
      </c>
      <c r="G1374" s="32">
        <v>30000</v>
      </c>
      <c r="H1374" s="87">
        <v>40351</v>
      </c>
      <c r="I1374" s="90">
        <v>0</v>
      </c>
      <c r="J1374" s="90">
        <f t="shared" si="42"/>
        <v>30000</v>
      </c>
      <c r="K1374" s="90" t="str">
        <f t="shared" si="41"/>
        <v>ATRASADO</v>
      </c>
    </row>
    <row r="1375" spans="2:11">
      <c r="B1375" s="11">
        <v>40394</v>
      </c>
      <c r="C1375" s="21" t="s">
        <v>366</v>
      </c>
      <c r="D1375" s="13" t="s">
        <v>356</v>
      </c>
      <c r="E1375" s="19" t="s">
        <v>102</v>
      </c>
      <c r="F1375" s="60">
        <v>2221</v>
      </c>
      <c r="G1375" s="32">
        <v>30000</v>
      </c>
      <c r="H1375" s="87">
        <v>40394</v>
      </c>
      <c r="I1375" s="90">
        <v>0</v>
      </c>
      <c r="J1375" s="90">
        <f t="shared" si="42"/>
        <v>30000</v>
      </c>
      <c r="K1375" s="90" t="str">
        <f t="shared" si="41"/>
        <v>ATRASADO</v>
      </c>
    </row>
    <row r="1376" spans="2:11">
      <c r="B1376" s="11"/>
      <c r="C1376" s="21"/>
      <c r="D1376" s="13"/>
      <c r="E1376" s="19"/>
      <c r="F1376" s="60"/>
      <c r="G1376" s="32"/>
      <c r="H1376" s="87"/>
      <c r="I1376" s="90"/>
      <c r="J1376" s="90" t="str">
        <f t="shared" si="42"/>
        <v/>
      </c>
      <c r="K1376" s="90"/>
    </row>
    <row r="1377" spans="2:11">
      <c r="B1377" s="11">
        <v>40234</v>
      </c>
      <c r="C1377" s="21" t="s">
        <v>367</v>
      </c>
      <c r="D1377" s="13" t="s">
        <v>368</v>
      </c>
      <c r="E1377" s="19" t="s">
        <v>102</v>
      </c>
      <c r="F1377" s="60">
        <v>2221</v>
      </c>
      <c r="G1377" s="32">
        <v>25000</v>
      </c>
      <c r="H1377" s="87">
        <v>40234</v>
      </c>
      <c r="I1377" s="90">
        <v>0</v>
      </c>
      <c r="J1377" s="90">
        <f t="shared" si="42"/>
        <v>25000</v>
      </c>
      <c r="K1377" s="90" t="str">
        <f t="shared" si="41"/>
        <v>ATRASADO</v>
      </c>
    </row>
    <row r="1378" spans="2:11">
      <c r="B1378" s="11">
        <v>40234</v>
      </c>
      <c r="C1378" s="21" t="s">
        <v>369</v>
      </c>
      <c r="D1378" s="13" t="s">
        <v>368</v>
      </c>
      <c r="E1378" s="19" t="s">
        <v>102</v>
      </c>
      <c r="F1378" s="60">
        <v>2221</v>
      </c>
      <c r="G1378" s="32">
        <v>25000</v>
      </c>
      <c r="H1378" s="87">
        <v>40234</v>
      </c>
      <c r="I1378" s="90">
        <v>0</v>
      </c>
      <c r="J1378" s="90">
        <f t="shared" si="42"/>
        <v>25000</v>
      </c>
      <c r="K1378" s="90" t="str">
        <f t="shared" si="41"/>
        <v>ATRASADO</v>
      </c>
    </row>
    <row r="1379" spans="2:11">
      <c r="B1379" s="11">
        <v>40284</v>
      </c>
      <c r="C1379" s="21" t="s">
        <v>568</v>
      </c>
      <c r="D1379" s="13" t="s">
        <v>368</v>
      </c>
      <c r="E1379" s="19" t="s">
        <v>102</v>
      </c>
      <c r="F1379" s="60">
        <v>2221</v>
      </c>
      <c r="G1379" s="32">
        <v>25000</v>
      </c>
      <c r="H1379" s="87">
        <v>40284</v>
      </c>
      <c r="I1379" s="90">
        <v>0</v>
      </c>
      <c r="J1379" s="90">
        <f t="shared" si="42"/>
        <v>25000</v>
      </c>
      <c r="K1379" s="90" t="str">
        <f t="shared" si="41"/>
        <v>ATRASADO</v>
      </c>
    </row>
    <row r="1380" spans="2:11">
      <c r="B1380" s="11">
        <v>40318</v>
      </c>
      <c r="C1380" s="21" t="s">
        <v>370</v>
      </c>
      <c r="D1380" s="13" t="s">
        <v>368</v>
      </c>
      <c r="E1380" s="19" t="s">
        <v>102</v>
      </c>
      <c r="F1380" s="60">
        <v>2221</v>
      </c>
      <c r="G1380" s="32">
        <v>25000</v>
      </c>
      <c r="H1380" s="87">
        <v>40318</v>
      </c>
      <c r="I1380" s="90">
        <v>0</v>
      </c>
      <c r="J1380" s="90">
        <f t="shared" si="42"/>
        <v>25000</v>
      </c>
      <c r="K1380" s="90" t="str">
        <f t="shared" si="41"/>
        <v>ATRASADO</v>
      </c>
    </row>
    <row r="1381" spans="2:11">
      <c r="B1381" s="11">
        <v>40351</v>
      </c>
      <c r="C1381" s="21" t="s">
        <v>371</v>
      </c>
      <c r="D1381" s="13" t="s">
        <v>368</v>
      </c>
      <c r="E1381" s="19" t="s">
        <v>102</v>
      </c>
      <c r="F1381" s="60">
        <v>2221</v>
      </c>
      <c r="G1381" s="32">
        <v>25000</v>
      </c>
      <c r="H1381" s="87">
        <v>40351</v>
      </c>
      <c r="I1381" s="90">
        <v>0</v>
      </c>
      <c r="J1381" s="90">
        <f t="shared" si="42"/>
        <v>25000</v>
      </c>
      <c r="K1381" s="90" t="str">
        <f t="shared" si="41"/>
        <v>ATRASADO</v>
      </c>
    </row>
    <row r="1382" spans="2:11">
      <c r="B1382" s="11">
        <v>40378</v>
      </c>
      <c r="C1382" s="21" t="s">
        <v>372</v>
      </c>
      <c r="D1382" s="13" t="s">
        <v>368</v>
      </c>
      <c r="E1382" s="19" t="s">
        <v>102</v>
      </c>
      <c r="F1382" s="60">
        <v>2221</v>
      </c>
      <c r="G1382" s="32">
        <v>25000</v>
      </c>
      <c r="H1382" s="87">
        <v>40378</v>
      </c>
      <c r="I1382" s="90">
        <v>0</v>
      </c>
      <c r="J1382" s="90">
        <f t="shared" si="42"/>
        <v>25000</v>
      </c>
      <c r="K1382" s="90" t="str">
        <f t="shared" si="41"/>
        <v>ATRASADO</v>
      </c>
    </row>
    <row r="1383" spans="2:11">
      <c r="B1383" s="11"/>
      <c r="C1383" s="21"/>
      <c r="D1383" s="13"/>
      <c r="E1383" s="19"/>
      <c r="F1383" s="60"/>
      <c r="G1383" s="32"/>
      <c r="H1383" s="87"/>
      <c r="I1383" s="90"/>
      <c r="J1383" s="90" t="str">
        <f t="shared" si="42"/>
        <v/>
      </c>
      <c r="K1383" s="90"/>
    </row>
    <row r="1384" spans="2:11">
      <c r="B1384" s="36">
        <v>40731</v>
      </c>
      <c r="C1384" s="35" t="s">
        <v>427</v>
      </c>
      <c r="D1384" s="13" t="s">
        <v>428</v>
      </c>
      <c r="E1384" s="19" t="s">
        <v>471</v>
      </c>
      <c r="F1384" s="60">
        <v>2332</v>
      </c>
      <c r="G1384" s="32">
        <v>70523.820000000007</v>
      </c>
      <c r="H1384" s="210">
        <v>40731</v>
      </c>
      <c r="I1384" s="90">
        <v>0</v>
      </c>
      <c r="J1384" s="90">
        <f t="shared" si="42"/>
        <v>70523.820000000007</v>
      </c>
      <c r="K1384" s="90" t="str">
        <f t="shared" si="41"/>
        <v>ATRASADO</v>
      </c>
    </row>
    <row r="1385" spans="2:11">
      <c r="B1385" s="36"/>
      <c r="C1385" s="35"/>
      <c r="D1385" s="13"/>
      <c r="E1385" s="19"/>
      <c r="F1385" s="60"/>
      <c r="G1385" s="32"/>
      <c r="H1385" s="210"/>
      <c r="I1385" s="90"/>
      <c r="J1385" s="90" t="str">
        <f t="shared" si="42"/>
        <v/>
      </c>
      <c r="K1385" s="90"/>
    </row>
    <row r="1386" spans="2:11">
      <c r="B1386" s="10">
        <v>40259</v>
      </c>
      <c r="C1386" s="49">
        <v>15000000024</v>
      </c>
      <c r="D1386" s="13" t="s">
        <v>499</v>
      </c>
      <c r="E1386" s="19" t="s">
        <v>467</v>
      </c>
      <c r="F1386" s="60">
        <v>2311</v>
      </c>
      <c r="G1386" s="32">
        <v>552686.92000000004</v>
      </c>
      <c r="H1386" s="208">
        <v>40259</v>
      </c>
      <c r="I1386" s="90">
        <v>0</v>
      </c>
      <c r="J1386" s="90">
        <f t="shared" si="42"/>
        <v>552686.92000000004</v>
      </c>
      <c r="K1386" s="90" t="str">
        <f t="shared" si="41"/>
        <v>ATRASADO</v>
      </c>
    </row>
    <row r="1387" spans="2:11">
      <c r="B1387" s="10">
        <v>40040</v>
      </c>
      <c r="C1387" s="49">
        <v>15000000033</v>
      </c>
      <c r="D1387" s="13" t="s">
        <v>499</v>
      </c>
      <c r="E1387" s="19" t="s">
        <v>467</v>
      </c>
      <c r="F1387" s="60">
        <v>2311</v>
      </c>
      <c r="G1387" s="32">
        <v>78216.25</v>
      </c>
      <c r="H1387" s="208">
        <v>40040</v>
      </c>
      <c r="I1387" s="90">
        <v>0</v>
      </c>
      <c r="J1387" s="90">
        <f t="shared" si="42"/>
        <v>78216.25</v>
      </c>
      <c r="K1387" s="90" t="str">
        <f t="shared" ref="K1387:K1411" si="43">IF(J1387&gt;0,"ATRASADO","")</f>
        <v>ATRASADO</v>
      </c>
    </row>
    <row r="1388" spans="2:11">
      <c r="B1388" s="10">
        <v>40040</v>
      </c>
      <c r="C1388" s="49">
        <v>15000000034</v>
      </c>
      <c r="D1388" s="13" t="s">
        <v>499</v>
      </c>
      <c r="E1388" s="19" t="s">
        <v>467</v>
      </c>
      <c r="F1388" s="60">
        <v>2311</v>
      </c>
      <c r="G1388" s="32">
        <v>4755.21</v>
      </c>
      <c r="H1388" s="208">
        <v>40040</v>
      </c>
      <c r="I1388" s="90">
        <v>0</v>
      </c>
      <c r="J1388" s="90">
        <f t="shared" si="42"/>
        <v>4755.21</v>
      </c>
      <c r="K1388" s="90" t="str">
        <f t="shared" si="43"/>
        <v>ATRASADO</v>
      </c>
    </row>
    <row r="1389" spans="2:11">
      <c r="B1389" s="10">
        <v>40274</v>
      </c>
      <c r="C1389" s="49">
        <v>15000000072</v>
      </c>
      <c r="D1389" s="13" t="s">
        <v>499</v>
      </c>
      <c r="E1389" s="19" t="s">
        <v>467</v>
      </c>
      <c r="F1389" s="60">
        <v>2311</v>
      </c>
      <c r="G1389" s="32">
        <v>137338.76999999999</v>
      </c>
      <c r="H1389" s="208">
        <v>40274</v>
      </c>
      <c r="I1389" s="90">
        <v>0</v>
      </c>
      <c r="J1389" s="90">
        <f t="shared" si="42"/>
        <v>137338.76999999999</v>
      </c>
      <c r="K1389" s="90" t="str">
        <f t="shared" si="43"/>
        <v>ATRASADO</v>
      </c>
    </row>
    <row r="1390" spans="2:11">
      <c r="B1390" s="10"/>
      <c r="C1390" s="35"/>
      <c r="D1390" s="13"/>
      <c r="E1390" s="19"/>
      <c r="F1390" s="60"/>
      <c r="G1390" s="73"/>
      <c r="H1390" s="208"/>
      <c r="I1390" s="90"/>
      <c r="J1390" s="90" t="str">
        <f t="shared" si="42"/>
        <v/>
      </c>
      <c r="K1390" s="90"/>
    </row>
    <row r="1391" spans="2:11">
      <c r="B1391" s="36">
        <v>40755</v>
      </c>
      <c r="C1391" s="38" t="s">
        <v>262</v>
      </c>
      <c r="D1391" s="13" t="s">
        <v>263</v>
      </c>
      <c r="E1391" s="19" t="s">
        <v>28</v>
      </c>
      <c r="F1391" s="60">
        <v>2254</v>
      </c>
      <c r="G1391" s="32">
        <v>90000</v>
      </c>
      <c r="H1391" s="210">
        <v>40755</v>
      </c>
      <c r="I1391" s="90">
        <v>0</v>
      </c>
      <c r="J1391" s="90">
        <f t="shared" si="42"/>
        <v>90000</v>
      </c>
      <c r="K1391" s="90" t="str">
        <f t="shared" si="43"/>
        <v>ATRASADO</v>
      </c>
    </row>
    <row r="1392" spans="2:11">
      <c r="B1392" s="36">
        <v>40786</v>
      </c>
      <c r="C1392" s="38" t="s">
        <v>264</v>
      </c>
      <c r="D1392" s="13" t="s">
        <v>263</v>
      </c>
      <c r="E1392" s="19" t="s">
        <v>28</v>
      </c>
      <c r="F1392" s="60">
        <v>2254</v>
      </c>
      <c r="G1392" s="32">
        <v>90000</v>
      </c>
      <c r="H1392" s="210">
        <v>40786</v>
      </c>
      <c r="I1392" s="90">
        <v>0</v>
      </c>
      <c r="J1392" s="90">
        <f t="shared" si="42"/>
        <v>90000</v>
      </c>
      <c r="K1392" s="90" t="str">
        <f t="shared" si="43"/>
        <v>ATRASADO</v>
      </c>
    </row>
    <row r="1393" spans="2:11">
      <c r="B1393" s="36">
        <v>40816</v>
      </c>
      <c r="C1393" s="38" t="s">
        <v>265</v>
      </c>
      <c r="D1393" s="13" t="s">
        <v>263</v>
      </c>
      <c r="E1393" s="19" t="s">
        <v>28</v>
      </c>
      <c r="F1393" s="60">
        <v>2254</v>
      </c>
      <c r="G1393" s="32">
        <v>90000</v>
      </c>
      <c r="H1393" s="210">
        <v>40816</v>
      </c>
      <c r="I1393" s="90">
        <v>0</v>
      </c>
      <c r="J1393" s="90">
        <f t="shared" si="42"/>
        <v>90000</v>
      </c>
      <c r="K1393" s="90" t="str">
        <f t="shared" si="43"/>
        <v>ATRASADO</v>
      </c>
    </row>
    <row r="1394" spans="2:11">
      <c r="B1394" s="36">
        <v>40847</v>
      </c>
      <c r="C1394" s="38" t="s">
        <v>266</v>
      </c>
      <c r="D1394" s="13" t="s">
        <v>263</v>
      </c>
      <c r="E1394" s="19" t="s">
        <v>28</v>
      </c>
      <c r="F1394" s="60">
        <v>2254</v>
      </c>
      <c r="G1394" s="32">
        <v>90000</v>
      </c>
      <c r="H1394" s="210">
        <v>40847</v>
      </c>
      <c r="I1394" s="90">
        <v>0</v>
      </c>
      <c r="J1394" s="90">
        <f t="shared" si="42"/>
        <v>90000</v>
      </c>
      <c r="K1394" s="90" t="str">
        <f t="shared" si="43"/>
        <v>ATRASADO</v>
      </c>
    </row>
    <row r="1395" spans="2:11">
      <c r="B1395" s="36">
        <v>40877</v>
      </c>
      <c r="C1395" s="38" t="s">
        <v>267</v>
      </c>
      <c r="D1395" s="13" t="s">
        <v>263</v>
      </c>
      <c r="E1395" s="19" t="s">
        <v>28</v>
      </c>
      <c r="F1395" s="60">
        <v>2254</v>
      </c>
      <c r="G1395" s="32">
        <v>90000</v>
      </c>
      <c r="H1395" s="210">
        <v>40877</v>
      </c>
      <c r="I1395" s="90">
        <v>0</v>
      </c>
      <c r="J1395" s="90">
        <f t="shared" si="42"/>
        <v>90000</v>
      </c>
      <c r="K1395" s="90" t="str">
        <f t="shared" si="43"/>
        <v>ATRASADO</v>
      </c>
    </row>
    <row r="1396" spans="2:11">
      <c r="B1396" s="36">
        <v>40908</v>
      </c>
      <c r="C1396" s="38" t="s">
        <v>268</v>
      </c>
      <c r="D1396" s="13" t="s">
        <v>263</v>
      </c>
      <c r="E1396" s="19" t="s">
        <v>28</v>
      </c>
      <c r="F1396" s="60">
        <v>2254</v>
      </c>
      <c r="G1396" s="32">
        <v>90000</v>
      </c>
      <c r="H1396" s="210">
        <v>40908</v>
      </c>
      <c r="I1396" s="90">
        <v>0</v>
      </c>
      <c r="J1396" s="90">
        <f t="shared" si="42"/>
        <v>90000</v>
      </c>
      <c r="K1396" s="90" t="str">
        <f t="shared" si="43"/>
        <v>ATRASADO</v>
      </c>
    </row>
    <row r="1397" spans="2:11">
      <c r="B1397" s="20">
        <v>41059</v>
      </c>
      <c r="C1397" s="12" t="s">
        <v>269</v>
      </c>
      <c r="D1397" s="13" t="s">
        <v>263</v>
      </c>
      <c r="E1397" s="19" t="s">
        <v>28</v>
      </c>
      <c r="F1397" s="60">
        <v>2254</v>
      </c>
      <c r="G1397" s="32">
        <v>90000</v>
      </c>
      <c r="H1397" s="210">
        <v>41059</v>
      </c>
      <c r="I1397" s="90">
        <v>0</v>
      </c>
      <c r="J1397" s="90">
        <f t="shared" si="42"/>
        <v>90000</v>
      </c>
      <c r="K1397" s="90" t="str">
        <f t="shared" si="43"/>
        <v>ATRASADO</v>
      </c>
    </row>
    <row r="1398" spans="2:11">
      <c r="B1398" s="20">
        <v>41059</v>
      </c>
      <c r="C1398" s="12" t="s">
        <v>270</v>
      </c>
      <c r="D1398" s="13" t="s">
        <v>263</v>
      </c>
      <c r="E1398" s="19" t="s">
        <v>28</v>
      </c>
      <c r="F1398" s="60">
        <v>2254</v>
      </c>
      <c r="G1398" s="32">
        <v>90000</v>
      </c>
      <c r="H1398" s="210">
        <v>41059</v>
      </c>
      <c r="I1398" s="90">
        <v>0</v>
      </c>
      <c r="J1398" s="90">
        <f t="shared" si="42"/>
        <v>90000</v>
      </c>
      <c r="K1398" s="90" t="str">
        <f t="shared" si="43"/>
        <v>ATRASADO</v>
      </c>
    </row>
    <row r="1399" spans="2:11">
      <c r="B1399" s="20">
        <v>41090</v>
      </c>
      <c r="C1399" s="12" t="s">
        <v>271</v>
      </c>
      <c r="D1399" s="13" t="s">
        <v>263</v>
      </c>
      <c r="E1399" s="19" t="s">
        <v>28</v>
      </c>
      <c r="F1399" s="60">
        <v>2254</v>
      </c>
      <c r="G1399" s="32">
        <v>90000</v>
      </c>
      <c r="H1399" s="210">
        <v>41090</v>
      </c>
      <c r="I1399" s="90">
        <v>0</v>
      </c>
      <c r="J1399" s="90">
        <f t="shared" si="42"/>
        <v>90000</v>
      </c>
      <c r="K1399" s="90" t="str">
        <f t="shared" si="43"/>
        <v>ATRASADO</v>
      </c>
    </row>
    <row r="1400" spans="2:11">
      <c r="B1400" s="11">
        <v>41121</v>
      </c>
      <c r="C1400" s="12" t="s">
        <v>272</v>
      </c>
      <c r="D1400" s="13" t="s">
        <v>263</v>
      </c>
      <c r="E1400" s="19" t="s">
        <v>28</v>
      </c>
      <c r="F1400" s="60">
        <v>2254</v>
      </c>
      <c r="G1400" s="32">
        <v>90000</v>
      </c>
      <c r="H1400" s="210">
        <v>41121</v>
      </c>
      <c r="I1400" s="90">
        <v>0</v>
      </c>
      <c r="J1400" s="90">
        <f t="shared" si="42"/>
        <v>90000</v>
      </c>
      <c r="K1400" s="90" t="str">
        <f t="shared" si="43"/>
        <v>ATRASADO</v>
      </c>
    </row>
    <row r="1401" spans="2:11">
      <c r="B1401" s="11"/>
      <c r="C1401" s="12"/>
      <c r="D1401" s="13"/>
      <c r="E1401" s="19"/>
      <c r="F1401" s="60"/>
      <c r="G1401" s="32"/>
      <c r="H1401" s="210"/>
      <c r="I1401" s="90"/>
      <c r="J1401" s="90" t="str">
        <f t="shared" si="42"/>
        <v/>
      </c>
      <c r="K1401" s="90"/>
    </row>
    <row r="1402" spans="2:11">
      <c r="B1402" s="36">
        <v>40389</v>
      </c>
      <c r="C1402" s="35" t="s">
        <v>430</v>
      </c>
      <c r="D1402" s="13" t="s">
        <v>431</v>
      </c>
      <c r="E1402" s="19" t="s">
        <v>432</v>
      </c>
      <c r="F1402" s="60">
        <v>2272</v>
      </c>
      <c r="G1402" s="32">
        <f>528000-488000</f>
        <v>40000</v>
      </c>
      <c r="H1402" s="210">
        <v>40389</v>
      </c>
      <c r="I1402" s="90">
        <v>0</v>
      </c>
      <c r="J1402" s="90">
        <f t="shared" si="42"/>
        <v>40000</v>
      </c>
      <c r="K1402" s="90" t="str">
        <f t="shared" si="43"/>
        <v>ATRASADO</v>
      </c>
    </row>
    <row r="1403" spans="2:11">
      <c r="B1403" s="36"/>
      <c r="C1403" s="35"/>
      <c r="D1403" s="13"/>
      <c r="E1403" s="19"/>
      <c r="F1403" s="60"/>
      <c r="G1403" s="32"/>
      <c r="H1403" s="210"/>
      <c r="I1403" s="90"/>
      <c r="J1403" s="90" t="str">
        <f t="shared" si="42"/>
        <v/>
      </c>
      <c r="K1403" s="90"/>
    </row>
    <row r="1404" spans="2:11">
      <c r="B1404" s="10">
        <v>40919</v>
      </c>
      <c r="C1404" s="12" t="s">
        <v>274</v>
      </c>
      <c r="D1404" s="13" t="s">
        <v>275</v>
      </c>
      <c r="E1404" s="19" t="s">
        <v>102</v>
      </c>
      <c r="F1404" s="60">
        <v>2221</v>
      </c>
      <c r="G1404" s="32">
        <v>35500</v>
      </c>
      <c r="H1404" s="208">
        <v>40919</v>
      </c>
      <c r="I1404" s="90">
        <v>0</v>
      </c>
      <c r="J1404" s="90">
        <f t="shared" si="42"/>
        <v>35500</v>
      </c>
      <c r="K1404" s="90" t="str">
        <f t="shared" si="43"/>
        <v>ATRASADO</v>
      </c>
    </row>
    <row r="1405" spans="2:11">
      <c r="B1405" s="10"/>
      <c r="C1405" s="12"/>
      <c r="D1405" s="13"/>
      <c r="E1405" s="19"/>
      <c r="F1405" s="60"/>
      <c r="G1405" s="32"/>
      <c r="H1405" s="208"/>
      <c r="I1405" s="90"/>
      <c r="J1405" s="90" t="str">
        <f t="shared" si="42"/>
        <v/>
      </c>
      <c r="K1405" s="90"/>
    </row>
    <row r="1406" spans="2:11">
      <c r="B1406" s="11">
        <v>40148</v>
      </c>
      <c r="C1406" s="21" t="s">
        <v>373</v>
      </c>
      <c r="D1406" s="13" t="s">
        <v>374</v>
      </c>
      <c r="E1406" s="19" t="s">
        <v>102</v>
      </c>
      <c r="F1406" s="60">
        <v>2221</v>
      </c>
      <c r="G1406" s="32">
        <v>50000</v>
      </c>
      <c r="H1406" s="87">
        <v>40148</v>
      </c>
      <c r="I1406" s="90">
        <v>0</v>
      </c>
      <c r="J1406" s="90">
        <f t="shared" si="42"/>
        <v>50000</v>
      </c>
      <c r="K1406" s="90" t="str">
        <f t="shared" si="43"/>
        <v>ATRASADO</v>
      </c>
    </row>
    <row r="1407" spans="2:11">
      <c r="B1407" s="11">
        <v>40329</v>
      </c>
      <c r="C1407" s="21" t="s">
        <v>375</v>
      </c>
      <c r="D1407" s="13" t="s">
        <v>374</v>
      </c>
      <c r="E1407" s="19" t="s">
        <v>102</v>
      </c>
      <c r="F1407" s="60">
        <v>2221</v>
      </c>
      <c r="G1407" s="32">
        <v>50000</v>
      </c>
      <c r="H1407" s="87">
        <v>40329</v>
      </c>
      <c r="I1407" s="90">
        <v>0</v>
      </c>
      <c r="J1407" s="90">
        <f t="shared" si="42"/>
        <v>50000</v>
      </c>
      <c r="K1407" s="90" t="str">
        <f t="shared" si="43"/>
        <v>ATRASADO</v>
      </c>
    </row>
    <row r="1408" spans="2:11">
      <c r="B1408" s="11">
        <v>40360</v>
      </c>
      <c r="C1408" s="21" t="s">
        <v>376</v>
      </c>
      <c r="D1408" s="13" t="s">
        <v>374</v>
      </c>
      <c r="E1408" s="19" t="s">
        <v>102</v>
      </c>
      <c r="F1408" s="60">
        <v>2221</v>
      </c>
      <c r="G1408" s="32">
        <v>50000</v>
      </c>
      <c r="H1408" s="87">
        <v>40360</v>
      </c>
      <c r="I1408" s="90">
        <v>0</v>
      </c>
      <c r="J1408" s="90">
        <f t="shared" si="42"/>
        <v>50000</v>
      </c>
      <c r="K1408" s="90" t="str">
        <f t="shared" si="43"/>
        <v>ATRASADO</v>
      </c>
    </row>
    <row r="1409" spans="2:11">
      <c r="B1409" s="11">
        <v>40131</v>
      </c>
      <c r="C1409" s="21" t="s">
        <v>377</v>
      </c>
      <c r="D1409" s="13" t="s">
        <v>374</v>
      </c>
      <c r="E1409" s="19" t="s">
        <v>102</v>
      </c>
      <c r="F1409" s="60">
        <v>2221</v>
      </c>
      <c r="G1409" s="32">
        <v>50000</v>
      </c>
      <c r="H1409" s="87">
        <v>40131</v>
      </c>
      <c r="I1409" s="90">
        <v>0</v>
      </c>
      <c r="J1409" s="90">
        <f t="shared" si="42"/>
        <v>50000</v>
      </c>
      <c r="K1409" s="90" t="str">
        <f t="shared" si="43"/>
        <v>ATRASADO</v>
      </c>
    </row>
    <row r="1410" spans="2:11">
      <c r="B1410" s="11">
        <v>40422</v>
      </c>
      <c r="C1410" s="21" t="s">
        <v>378</v>
      </c>
      <c r="D1410" s="13" t="s">
        <v>374</v>
      </c>
      <c r="E1410" s="19" t="s">
        <v>102</v>
      </c>
      <c r="F1410" s="60">
        <v>2221</v>
      </c>
      <c r="G1410" s="32">
        <v>50000</v>
      </c>
      <c r="H1410" s="87">
        <v>40422</v>
      </c>
      <c r="I1410" s="90">
        <v>0</v>
      </c>
      <c r="J1410" s="90">
        <f t="shared" si="42"/>
        <v>50000</v>
      </c>
      <c r="K1410" s="90" t="str">
        <f t="shared" si="43"/>
        <v>ATRASADO</v>
      </c>
    </row>
    <row r="1411" spans="2:11">
      <c r="B1411" s="11">
        <v>40457</v>
      </c>
      <c r="C1411" s="21" t="s">
        <v>379</v>
      </c>
      <c r="D1411" s="13" t="s">
        <v>374</v>
      </c>
      <c r="E1411" s="19" t="s">
        <v>102</v>
      </c>
      <c r="F1411" s="60">
        <v>2221</v>
      </c>
      <c r="G1411" s="32">
        <v>50000</v>
      </c>
      <c r="H1411" s="87">
        <v>40457</v>
      </c>
      <c r="I1411" s="90">
        <v>0</v>
      </c>
      <c r="J1411" s="90">
        <f t="shared" si="42"/>
        <v>50000</v>
      </c>
      <c r="K1411" s="90" t="str">
        <f t="shared" si="43"/>
        <v>ATRASADO</v>
      </c>
    </row>
    <row r="1412" spans="2:11" ht="15.75" thickBot="1">
      <c r="B1412" s="11"/>
      <c r="C1412" s="41"/>
      <c r="D1412" s="31"/>
      <c r="E1412" s="22"/>
      <c r="F1412" s="60"/>
      <c r="G1412" s="64"/>
      <c r="H1412" s="87"/>
    </row>
    <row r="1414" spans="2:11" ht="16.5" thickBot="1">
      <c r="C1414" s="3"/>
      <c r="D1414" s="58" t="s">
        <v>472</v>
      </c>
      <c r="E1414" s="57"/>
      <c r="F1414" s="50"/>
      <c r="G1414" s="59">
        <f>SUM(G14:G1412)</f>
        <v>1565691800.0699997</v>
      </c>
      <c r="I1414" s="59">
        <f>SUM(I14:I1412)</f>
        <v>0</v>
      </c>
    </row>
    <row r="1415" spans="2:11" ht="15.75" thickTop="1"/>
    <row r="1416" spans="2:11">
      <c r="G1416" s="63"/>
    </row>
    <row r="1417" spans="2:11">
      <c r="G1417" s="85"/>
    </row>
    <row r="1418" spans="2:11">
      <c r="B1418" s="228" t="s">
        <v>740</v>
      </c>
      <c r="C1418" s="228"/>
      <c r="D1418" s="403" t="s">
        <v>876</v>
      </c>
      <c r="E1418" s="403"/>
      <c r="F1418" s="224"/>
      <c r="G1418" s="394" t="s">
        <v>877</v>
      </c>
      <c r="H1418" s="394"/>
    </row>
    <row r="1419" spans="2:11">
      <c r="B1419" s="116" t="s">
        <v>741</v>
      </c>
      <c r="C1419" s="116"/>
      <c r="D1419" s="389" t="s">
        <v>742</v>
      </c>
      <c r="E1419" s="389"/>
      <c r="F1419" s="116"/>
      <c r="G1419" s="390" t="s">
        <v>743</v>
      </c>
      <c r="H1419" s="390"/>
    </row>
    <row r="1420" spans="2:11">
      <c r="D1420" s="224"/>
      <c r="E1420" s="224"/>
    </row>
  </sheetData>
  <mergeCells count="6">
    <mergeCell ref="B9:K9"/>
    <mergeCell ref="B10:K10"/>
    <mergeCell ref="D1418:E1418"/>
    <mergeCell ref="G1418:H1418"/>
    <mergeCell ref="D1419:E1419"/>
    <mergeCell ref="G1419:H14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NOVIEMBRE 2021</vt:lpstr>
      <vt:lpstr>Hoja5</vt:lpstr>
      <vt:lpstr>NOV</vt:lpstr>
      <vt:lpstr>OCT.</vt:lpstr>
      <vt:lpstr>Hoja2</vt:lpstr>
      <vt:lpstr>Hoja3</vt:lpstr>
      <vt:lpstr>AGO-PAGOS</vt:lpstr>
      <vt:lpstr>AGO-2021</vt:lpstr>
      <vt:lpstr>JULIO21</vt:lpstr>
      <vt:lpstr>Hoja1</vt:lpstr>
      <vt:lpstr>'NOVIEMBRE 2021'!Área_de_impresión</vt:lpstr>
      <vt:lpstr>'NOVIEMBRE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2021-12-17T19:33:40Z</cp:lastPrinted>
  <dcterms:created xsi:type="dcterms:W3CDTF">2017-02-16T17:13:46Z</dcterms:created>
  <dcterms:modified xsi:type="dcterms:W3CDTF">2022-01-11T16:32:58Z</dcterms:modified>
</cp:coreProperties>
</file>